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ropbox\FORRU STAFF EXCHANGE FOLDER\UNIT ADMIN\Tree Planting - planning and costs\Cost Calculations\"/>
    </mc:Choice>
  </mc:AlternateContent>
  <xr:revisionPtr revIDLastSave="0" documentId="13_ncr:1_{78A8E805-85DA-46E0-9751-225EEDB15C17}" xr6:coauthVersionLast="47" xr6:coauthVersionMax="47" xr10:uidLastSave="{00000000-0000-0000-0000-000000000000}"/>
  <bookViews>
    <workbookView xWindow="-108" yWindow="-108" windowWidth="23256" windowHeight="13176" tabRatio="709" activeTab="1" xr2:uid="{00000000-000D-0000-FFFF-FFFF00000000}"/>
  </bookViews>
  <sheets>
    <sheet name="COST CALCULATION THB" sheetId="1" r:id="rId1"/>
    <sheet name="SUMMARY" sheetId="4" r:id="rId2"/>
    <sheet name="GRAPH ANR OFFSET" sheetId="6" r:id="rId3"/>
  </sheets>
  <definedNames>
    <definedName name="P">'COST CALCULATION THB'!$B$19:$J$63</definedName>
    <definedName name="RJPBMSM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" l="1"/>
  <c r="D51" i="1" l="1"/>
  <c r="D40" i="1"/>
  <c r="D39" i="1"/>
  <c r="D27" i="1"/>
  <c r="D50" i="1" l="1"/>
  <c r="D23" i="4" l="1"/>
  <c r="D22" i="4"/>
  <c r="D17" i="4"/>
  <c r="C23" i="4"/>
  <c r="C22" i="4"/>
  <c r="D31" i="1" l="1"/>
  <c r="G30" i="1"/>
  <c r="D53" i="1"/>
  <c r="G52" i="1"/>
  <c r="D23" i="1"/>
  <c r="D46" i="1"/>
  <c r="D29" i="1"/>
  <c r="D28" i="1"/>
  <c r="E23" i="4" l="1"/>
  <c r="E22" i="4"/>
  <c r="F56" i="1"/>
  <c r="C5" i="4"/>
  <c r="C4" i="4"/>
  <c r="F58" i="1"/>
  <c r="D58" i="1"/>
  <c r="G57" i="1"/>
  <c r="H57" i="1" s="1"/>
  <c r="K15" i="1"/>
  <c r="M57" i="1"/>
  <c r="F53" i="1"/>
  <c r="M52" i="1"/>
  <c r="H52" i="1"/>
  <c r="G51" i="1"/>
  <c r="H51" i="1" s="1"/>
  <c r="F50" i="1"/>
  <c r="F46" i="1"/>
  <c r="G45" i="1"/>
  <c r="I45" i="1" s="1"/>
  <c r="F40" i="1"/>
  <c r="C6" i="4" l="1"/>
  <c r="G6" i="4" s="1"/>
  <c r="F25" i="1"/>
  <c r="G25" i="1" s="1"/>
  <c r="F54" i="1"/>
  <c r="D34" i="1"/>
  <c r="D33" i="1"/>
  <c r="D56" i="1"/>
  <c r="G56" i="1" s="1"/>
  <c r="H56" i="1" s="1"/>
  <c r="D20" i="4" s="1"/>
  <c r="D38" i="1"/>
  <c r="C3" i="4"/>
  <c r="D41" i="1"/>
  <c r="I52" i="1"/>
  <c r="I25" i="1"/>
  <c r="F47" i="1"/>
  <c r="G58" i="1"/>
  <c r="H58" i="1" s="1"/>
  <c r="G53" i="1"/>
  <c r="H53" i="1" s="1"/>
  <c r="F32" i="1"/>
  <c r="G50" i="1"/>
  <c r="H50" i="1" s="1"/>
  <c r="F59" i="1"/>
  <c r="I57" i="1"/>
  <c r="G46" i="1"/>
  <c r="I46" i="1" s="1"/>
  <c r="G54" i="1"/>
  <c r="G47" i="1" l="1"/>
  <c r="I47" i="1" s="1"/>
  <c r="G32" i="1"/>
  <c r="G59" i="1"/>
  <c r="H59" i="1" s="1"/>
  <c r="I59" i="1" s="1"/>
  <c r="I53" i="1"/>
  <c r="D19" i="4"/>
  <c r="I58" i="1"/>
  <c r="I56" i="1"/>
  <c r="H54" i="1"/>
  <c r="C21" i="4" l="1"/>
  <c r="I32" i="1"/>
  <c r="D21" i="4"/>
  <c r="I54" i="1"/>
  <c r="F38" i="1"/>
  <c r="E21" i="4" l="1"/>
  <c r="D43" i="1"/>
  <c r="F33" i="1"/>
  <c r="F28" i="1"/>
  <c r="F27" i="1"/>
  <c r="F31" i="1"/>
  <c r="G31" i="1" l="1"/>
  <c r="G27" i="1"/>
  <c r="I31" i="1" l="1"/>
  <c r="I27" i="1"/>
  <c r="F23" i="1"/>
  <c r="G22" i="1"/>
  <c r="I22" i="1" l="1"/>
  <c r="D37" i="1"/>
  <c r="G37" i="1" s="1"/>
  <c r="C17" i="4" s="1"/>
  <c r="D42" i="1"/>
  <c r="D35" i="1"/>
  <c r="G35" i="1" s="1"/>
  <c r="I35" i="1" s="1"/>
  <c r="G34" i="1"/>
  <c r="G33" i="1"/>
  <c r="G60" i="1"/>
  <c r="H60" i="1" s="1"/>
  <c r="D18" i="4" s="1"/>
  <c r="H63" i="1" l="1"/>
  <c r="G38" i="1"/>
  <c r="D44" i="1"/>
  <c r="G44" i="1" s="1"/>
  <c r="I44" i="1" s="1"/>
  <c r="H71" i="1" l="1"/>
  <c r="E17" i="4"/>
  <c r="I33" i="1"/>
  <c r="I34" i="1"/>
  <c r="I38" i="1"/>
  <c r="G29" i="1" l="1"/>
  <c r="I29" i="1" l="1"/>
  <c r="G28" i="1" l="1"/>
  <c r="C20" i="4" s="1"/>
  <c r="E20" i="4" s="1"/>
  <c r="M39" i="1"/>
  <c r="N34" i="1"/>
  <c r="I28" i="1" l="1"/>
  <c r="G24" i="1"/>
  <c r="I37" i="1"/>
  <c r="G42" i="1"/>
  <c r="G41" i="1"/>
  <c r="G40" i="1"/>
  <c r="I40" i="1" s="1"/>
  <c r="G43" i="1"/>
  <c r="I43" i="1" s="1"/>
  <c r="G39" i="1"/>
  <c r="G23" i="1"/>
  <c r="C19" i="4" s="1"/>
  <c r="C18" i="4" l="1"/>
  <c r="D24" i="4"/>
  <c r="E19" i="4"/>
  <c r="I41" i="1"/>
  <c r="I30" i="1"/>
  <c r="I39" i="1"/>
  <c r="G63" i="1"/>
  <c r="I23" i="1"/>
  <c r="I42" i="1"/>
  <c r="I24" i="1"/>
  <c r="I50" i="1"/>
  <c r="I51" i="1"/>
  <c r="I60" i="1"/>
  <c r="G74" i="1" l="1"/>
  <c r="G71" i="1"/>
  <c r="E18" i="4"/>
  <c r="C24" i="4"/>
  <c r="I63" i="1"/>
  <c r="E24" i="4" l="1"/>
  <c r="F23" i="4" s="1"/>
  <c r="C10" i="4"/>
  <c r="C13" i="4" s="1"/>
  <c r="D13" i="4" s="1"/>
  <c r="F24" i="4" l="1"/>
  <c r="F22" i="4"/>
  <c r="F21" i="4"/>
  <c r="F19" i="4"/>
  <c r="F17" i="4"/>
  <c r="F20" i="4"/>
  <c r="F18" i="4"/>
  <c r="C12" i="4"/>
  <c r="D12" i="4" s="1"/>
  <c r="D10" i="4"/>
  <c r="C11" i="4"/>
  <c r="D11" i="4" l="1"/>
</calcChain>
</file>

<file path=xl/sharedStrings.xml><?xml version="1.0" encoding="utf-8"?>
<sst xmlns="http://schemas.openxmlformats.org/spreadsheetml/2006/main" count="241" uniqueCount="158">
  <si>
    <t>#Units</t>
  </si>
  <si>
    <t>Cost/Unit</t>
  </si>
  <si>
    <t>Equipment</t>
  </si>
  <si>
    <t>Bamboo poles</t>
  </si>
  <si>
    <t>Baskets</t>
  </si>
  <si>
    <t>Hoes</t>
  </si>
  <si>
    <t>Plot maintenance for 2 years</t>
  </si>
  <si>
    <t>Seedling monitoring for 2 years</t>
  </si>
  <si>
    <t>Fire prevention program for a year</t>
  </si>
  <si>
    <t>Total</t>
  </si>
  <si>
    <t>THB</t>
  </si>
  <si>
    <t>S</t>
  </si>
  <si>
    <t>T</t>
  </si>
  <si>
    <t>M</t>
  </si>
  <si>
    <t>L</t>
  </si>
  <si>
    <t>TOTAL</t>
  </si>
  <si>
    <t>CODE</t>
  </si>
  <si>
    <t>Site preparation - weeding spraying</t>
  </si>
  <si>
    <t>Equipment and materials</t>
  </si>
  <si>
    <t>F</t>
  </si>
  <si>
    <t xml:space="preserve">In Y1 twice - baseline and end rainy. In Y2 once - end rainy. </t>
  </si>
  <si>
    <t>Spare labels, gloves,  stationary etc.</t>
  </si>
  <si>
    <t>Details</t>
  </si>
  <si>
    <t>THE LOCAL DAILY LABOUR RATE</t>
  </si>
  <si>
    <t>THE DISTANCE TO THE RESTORATION SITE</t>
  </si>
  <si>
    <t>FIRST, SURVEY THE RESTORATION SITE</t>
  </si>
  <si>
    <t>PER HECTARE</t>
  </si>
  <si>
    <t>INSTRUCTIONS: www.dropbox.com/s/6qa9leglatnvhl6/RTFNew%20Design%20Chapter3.pdf?dl=0</t>
  </si>
  <si>
    <t>KM</t>
  </si>
  <si>
    <t>THB PER LITRE</t>
  </si>
  <si>
    <t>THB PER DAY</t>
  </si>
  <si>
    <t>1ST YEAR</t>
  </si>
  <si>
    <t>2ND YEAR</t>
  </si>
  <si>
    <t>Costs</t>
  </si>
  <si>
    <t>Vehicle hire</t>
  </si>
  <si>
    <t>Fuel</t>
  </si>
  <si>
    <t>KILOMETRES PER LITRE</t>
  </si>
  <si>
    <t>% PER YEAR</t>
  </si>
  <si>
    <t>ENTER ZERO UNITS IF USE OWN VEHICLE</t>
  </si>
  <si>
    <t>Glyphosate</t>
  </si>
  <si>
    <t>Supervision weeding/spraying vehicle hire</t>
  </si>
  <si>
    <t>Supervision weeding/spraying vehicle fuel</t>
  </si>
  <si>
    <t>Weed slashing labour</t>
  </si>
  <si>
    <t xml:space="preserve">Herbicide spraying labour </t>
  </si>
  <si>
    <t xml:space="preserve">Tree Planting </t>
  </si>
  <si>
    <t>ENTER LOCAL COST PARAMETERS HERE</t>
  </si>
  <si>
    <t>Pre-planting site survey</t>
  </si>
  <si>
    <t>Assuming labourers bring their own tools. Slash weeds down to 10-20 c, 6 weeks before tree planting.</t>
  </si>
  <si>
    <t>Spray glyphosate on new weed shoots 3 weeks before tree planting.</t>
  </si>
  <si>
    <t>Planting stock</t>
  </si>
  <si>
    <t>4 sets per hectare</t>
  </si>
  <si>
    <t>Organic Fertilizer</t>
  </si>
  <si>
    <t>Buckets &amp; cups for fertilizer, gloves and box cutters</t>
  </si>
  <si>
    <t>Food and drink for planters</t>
  </si>
  <si>
    <t>Staking, hole digging, planting, fertilizer application and garbage clearance - Labour</t>
  </si>
  <si>
    <t>Ceremonial items, e.g. banner, gifts, T-shirts, sound equipment etc.</t>
  </si>
  <si>
    <t>Add cost as required</t>
  </si>
  <si>
    <t>450 THB per 50kg bag organic fertilizer. 6.25 bags per hectare. Apply 100gm to both planted trees and natural regenerants: totally 3,100 trees per hectare</t>
  </si>
  <si>
    <t>Fuel for transportation of project staff VIP's etc. to planting event.</t>
  </si>
  <si>
    <t>Vehicle hire for project staff, VIP's etc. - planting event</t>
  </si>
  <si>
    <t>3 times in first rainy season and 3 times in 2nd rainyseason</t>
  </si>
  <si>
    <t>Project management staff inputs - supervision data analysis</t>
  </si>
  <si>
    <t>Project management staff inputs - training, supervision, payments, accounting.</t>
  </si>
  <si>
    <t>Tree maintenance - weeding and fertilizer application, to both planted trees and natural regenerants - LABOUR</t>
  </si>
  <si>
    <t>Fertilizer</t>
  </si>
  <si>
    <t>450 THB per 50kg bag organic fertilizer. 6.25 bags per hectare. Apply 100gm to both planted trees and natural regenerants: totally 3,100 trees per hectare. 3 times in the 1st raint season and 3 times in the 2nd rainy season.</t>
  </si>
  <si>
    <t>Supervision weeding/fertilizer application vehicle hire</t>
  </si>
  <si>
    <t>Supervision weeding/fertilizer application vehicle fuel</t>
  </si>
  <si>
    <t>3 times x 2 staff in 1st rainy season and same in 2nd rainy season</t>
  </si>
  <si>
    <t>Planting Stock</t>
  </si>
  <si>
    <t>Materials and Equipment</t>
  </si>
  <si>
    <t>Labour</t>
  </si>
  <si>
    <t>Project staff inputs - supervision and admin etc.</t>
  </si>
  <si>
    <t>Transportation</t>
  </si>
  <si>
    <t>Assuming 5% of trees are labeled and monitored</t>
  </si>
  <si>
    <t>THB PER MONTH</t>
  </si>
  <si>
    <t>PER DAY</t>
  </si>
  <si>
    <t>FIRE BREAK CUTTING, FIRE PATROLS/WARNING SYSTEM AND FIRE SUPRESSION TEAMS. COSTS FOR THESE ITEMS VARY HUGELY FROM SITE TO SITE, ACCORDING TO SIZE/SHAPE AND REMOTENESS OF PLOTS AND LOCAL FIRE RISK FACTORS. PLEASE CALCULATE AFTER NEGOTIATION WITH LOCAL VILLAGERS AND FORESTRY OFFICIALS AND ADD COSTS OF 2 YEARS FIRE PREVENTION.</t>
  </si>
  <si>
    <t>(SEEDLINGS/SAPLINGS/LIVE TREE STUMPS) PER HECTARE HERE&gt;&gt;&gt;&gt;&gt;&gt;&gt;&gt;&gt;&gt;&gt;&gt;&gt;&gt;&gt;&gt;&gt;&gt;&gt;&gt;&gt;&gt;&gt;&gt;&gt;&gt;&gt;&gt;&gt;&gt;&gt;&gt;&gt;&gt;&gt;&gt;&gt;&gt;&gt;&gt;&gt;&gt;&gt;&gt;&gt;&gt;&gt;&gt;&gt;&gt;&gt;&gt;&gt;&gt;&gt;&gt;&gt;&gt;&gt;&gt;&gt;&gt;&gt;&gt;</t>
  </si>
  <si>
    <t>DISTANCE FROM NURSERY TO RESTORATION SITE AND RETURN 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</t>
  </si>
  <si>
    <t>DISTANCE FROM HOMEBASE TO RESTORATION SITE AND RETURN &gt;&gt;&gt;&gt;&gt;&gt;&gt;&gt;&gt;&gt;&gt;&gt;&gt;&gt;&gt;&gt;&gt;&gt;&gt;&gt;&gt;&gt;&gt;&gt;&gt;&gt;&gt;&gt;&gt;&gt;&gt;&gt;&gt;&gt;&gt;&gt;&gt;&gt;&gt;&gt;&gt;&gt;&gt;&gt;&gt;&gt;&gt;&gt;&gt;&gt;&gt;&gt;&gt;&gt;&gt;&gt;&gt;&gt;&gt;&gt;&gt;&gt;&gt;&gt;&gt;</t>
  </si>
  <si>
    <t>CURRENT PRICE OF 1 LITRE OF FUEL 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..&gt;&gt;&gt;&gt;&gt;&gt;&gt;&gt;&gt;&gt;&gt;&gt;</t>
  </si>
  <si>
    <t>ENTER THE AVERAGE FUEL EFFICIENCY OF THE VEHICLES TO BE USED IN KILOMETRES PER LITRE &gt;&gt;&gt;&gt;&gt;&gt;&gt;&gt;&gt;&gt;&gt;&gt;&gt;&gt;&gt;&gt;&gt;&gt;&gt;&gt;&gt;&gt;&gt;&gt;&gt;&gt;&gt;&gt;&gt;&gt;&gt;&gt;&gt;&gt;&gt;&gt;&gt;&gt;&gt;&gt;&gt;&gt;&gt;&gt;&gt;&gt;&gt;&gt;&gt;&gt;&gt;&gt;&gt;&gt;&gt;&gt;&gt;&gt;&gt;&gt;&gt;&gt;&gt;...&gt;&gt;&gt;</t>
  </si>
  <si>
    <t>THE DAILY LABOUR RATE 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</t>
  </si>
  <si>
    <t>SALARY OF PROJECT STAFF/SUPERVISORS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.</t>
  </si>
  <si>
    <t>WHAT IS THE TOTAL AREA TO BE RESTORED ? 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</t>
  </si>
  <si>
    <t>ENTER THE ANNUAL INFLATION RATE (FORECASTED FOR THE NEXT 2 YEARS) HERE 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&gt;</t>
  </si>
  <si>
    <t>HECTARES</t>
  </si>
  <si>
    <t>YOUR PROJECT SUMMARY</t>
  </si>
  <si>
    <t>TOTAL PROJECT COSTS</t>
  </si>
  <si>
    <t>TREES PLANTED</t>
  </si>
  <si>
    <t>NATURAL REGENERANTS NURTURED</t>
  </si>
  <si>
    <t>AREA RESTORED</t>
  </si>
  <si>
    <t>COSTS PER HECTARE</t>
  </si>
  <si>
    <t xml:space="preserve">COSTS PER TREE ESTABLISHED </t>
  </si>
  <si>
    <t>USD</t>
  </si>
  <si>
    <t xml:space="preserve">XCH RATE </t>
  </si>
  <si>
    <t>TREES</t>
  </si>
  <si>
    <t>SEEDLINGS/SAPLINGS/LIVE TREE STUMPS ALREADY PRESENT</t>
  </si>
  <si>
    <t>HA</t>
  </si>
  <si>
    <t>Y1</t>
  </si>
  <si>
    <t>Y2</t>
  </si>
  <si>
    <t>BOTH PLANTED AND NATURAL REGENERANTS COMBINED</t>
  </si>
  <si>
    <t>%</t>
  </si>
  <si>
    <t>FIRE PREVENTION</t>
  </si>
  <si>
    <t>P</t>
  </si>
  <si>
    <t>DO NOT REMOVE OR CHANGE THESE CODES</t>
  </si>
  <si>
    <t>THE DEGREE OF DEGRADATION/NATURAL RECOVERY ON THE RESTORATION SITE</t>
  </si>
  <si>
    <t>THEREFORE, THE RECOMMENDED NUMBER OF TREES TO PLANT IS …………………………………………………………………………………………..……………………………………………………………….</t>
  </si>
  <si>
    <t>THE COSTS OF FOREST RESTORATION DEPEND ON LOCATION</t>
  </si>
  <si>
    <t xml:space="preserve">FROM THE SURVEY RESULTS, ENTER THE ESTIMATED NUMBER OF EXISTING NATURAL REGENERANTS </t>
  </si>
  <si>
    <t>2.5 gallon per hectare (@550 PER GALLON)</t>
  </si>
  <si>
    <t xml:space="preserve">Enter zero UNITS if planters bring their own. </t>
  </si>
  <si>
    <t>500 trees per 1 load, cost is per trip. Usually we employ local villagers with their own pick up trucks. They charge per trip, which renegotiated each year.</t>
  </si>
  <si>
    <t>1 basket carries 20 trees x 100 times, before falling apart.</t>
  </si>
  <si>
    <t>This price varies enormously from place to place from 0.25 to 2 THB.</t>
  </si>
  <si>
    <t>We assume  that most of the planters are local and will come with their own transport. Therefore, we budget for only 4 vehicles for project staff and VIP's sponsors etc. ADJUST AS REQUIRED.</t>
  </si>
  <si>
    <t>ENTER ZERO UNITS IF USE OWN VEHICLE. 3 times in rainy season and 3 times in 2nd rainy season.</t>
  </si>
  <si>
    <t>UNITS</t>
  </si>
  <si>
    <t>VEHICLE</t>
  </si>
  <si>
    <t>SET</t>
  </si>
  <si>
    <t>DAYS WORK</t>
  </si>
  <si>
    <t>GALLON</t>
  </si>
  <si>
    <t>VEHICLES</t>
  </si>
  <si>
    <t>ENTER ZERO UNITS IF USE OWN VEHICLE. Two trips weed slashing and herbicide application.</t>
  </si>
  <si>
    <t>TRIP</t>
  </si>
  <si>
    <t>FENCING</t>
  </si>
  <si>
    <t>TREE</t>
  </si>
  <si>
    <t>SACK (50 KG)</t>
  </si>
  <si>
    <t>BASKET</t>
  </si>
  <si>
    <t>POLE</t>
  </si>
  <si>
    <t>HOE</t>
  </si>
  <si>
    <t>PERSON</t>
  </si>
  <si>
    <t>MISC.</t>
  </si>
  <si>
    <t>VEHICLE DAY</t>
  </si>
  <si>
    <t xml:space="preserve">LIVESTOCK EXCLUSION </t>
  </si>
  <si>
    <t>LE</t>
  </si>
  <si>
    <t>Saplings 30-50 cm tall in 9 x 2.5" plastic bags. Cost includes local seed collection, pre-germination treatments, potting and standing down in the nursery with weeding, watering and fertilizer application for 6-18 months depending on species. DOES NOT INCLUDE DELIVERY TO THE PANTING SITE. On the basis of a team of 3 persons producing 20,000 trees per year.</t>
  </si>
  <si>
    <t>Seedling transfer to site - labour</t>
  </si>
  <si>
    <t>Seedling transfer to site - pickup truck hire</t>
  </si>
  <si>
    <t>Seedling transfer to site - pickup truck fuel</t>
  </si>
  <si>
    <t>ENTER ZERO UNITS - if villagers include petrol in their "per trip" charge.</t>
  </si>
  <si>
    <t>Planting rate is about 60 trees per person per day. SUBTRACT THE NUMBER OF VOLUNTEER PLANTERS FROM THE NUMBER OF UNITS LABOUR required.</t>
  </si>
  <si>
    <t>Supervision monitoring - vehicle hire</t>
  </si>
  <si>
    <t>Supervision weeding/fertilizer application - vehicle fuel</t>
  </si>
  <si>
    <t>LIVESTOCK EXCLUSION (i.e. a fence) - ADD IF NEEDED</t>
  </si>
  <si>
    <t>SHOWS HOW COSTS DECLINE AS AMOUNT OF PRE-EXISTING NR INCREASES</t>
  </si>
  <si>
    <t xml:space="preserve">PER RAI </t>
  </si>
  <si>
    <t>Performed by state agency</t>
  </si>
  <si>
    <t>Zero if villagers agreee to remove cattle</t>
  </si>
  <si>
    <t>NET INCREASE IN TREE CARBON AG &amp; BG</t>
  </si>
  <si>
    <t>TONS C</t>
  </si>
  <si>
    <t xml:space="preserve">OVER 14 YEARS </t>
  </si>
  <si>
    <t>TONS CO2</t>
  </si>
  <si>
    <t>COST PER TON CO2 SEQUESTERED</t>
  </si>
  <si>
    <t>NATURAL REGEENRATION TREES/HA</t>
  </si>
  <si>
    <t>COST/HA (US$)</t>
  </si>
  <si>
    <t>COST PER TREE (US$)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</si>
</sst>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10"/>
      <color rgb="FF000000"/>
      <name val="Calibri"/>
      <family val="2"/>
    </font>
    <font>
      <b/>
      <sz val="9"/>
      <color rgb="FF000000"/>
      <name val="Calibri"/>
      <family val="2"/>
    </font>
    <font>
      <b/>
      <sz val="8"/>
      <color rgb="FF000000"/>
      <name val="Calibri"/>
      <family val="2"/>
    </font>
    <font>
      <b/>
      <sz val="9.5"/>
      <color rgb="FF000000"/>
      <name val="Calibri"/>
      <family val="2"/>
    </font>
    <font>
      <sz val="9.5"/>
      <color rgb="FF000000"/>
      <name val="Calibri"/>
      <family val="2"/>
    </font>
    <font>
      <sz val="9.5"/>
      <color theme="1"/>
      <name val="Calibri"/>
      <family val="2"/>
    </font>
    <font>
      <b/>
      <i/>
      <sz val="8"/>
      <color theme="1"/>
      <name val="Calibri"/>
      <family val="2"/>
    </font>
    <font>
      <b/>
      <sz val="18"/>
      <color theme="1"/>
      <name val="Calibri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9.5"/>
      <color theme="1"/>
      <name val="Calibri"/>
      <family val="2"/>
      <scheme val="minor"/>
    </font>
    <font>
      <b/>
      <sz val="9.5"/>
      <color theme="1"/>
      <name val="Calibri"/>
      <family val="2"/>
    </font>
    <font>
      <b/>
      <sz val="9.5"/>
      <color theme="1"/>
      <name val="Calibri"/>
      <family val="2"/>
      <scheme val="minor"/>
    </font>
    <font>
      <b/>
      <i/>
      <sz val="9.5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i/>
      <sz val="16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7E4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8" fillId="0" borderId="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2" fillId="2" borderId="1" xfId="0" applyFont="1" applyFill="1" applyBorder="1" applyAlignment="1">
      <alignment vertical="center"/>
    </xf>
    <xf numFmtId="3" fontId="7" fillId="0" borderId="2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3" fontId="7" fillId="0" borderId="5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3" fontId="12" fillId="2" borderId="1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7" fillId="2" borderId="1" xfId="0" applyNumberFormat="1" applyFont="1" applyFill="1" applyBorder="1" applyAlignment="1">
      <alignment horizontal="right" vertical="center"/>
    </xf>
    <xf numFmtId="3" fontId="8" fillId="0" borderId="2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8" fillId="0" borderId="8" xfId="0" applyNumberFormat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3" fontId="12" fillId="2" borderId="20" xfId="0" applyNumberFormat="1" applyFont="1" applyFill="1" applyBorder="1" applyAlignment="1">
      <alignment horizontal="right" vertical="center"/>
    </xf>
    <xf numFmtId="3" fontId="8" fillId="0" borderId="5" xfId="0" applyNumberFormat="1" applyFont="1" applyBorder="1" applyAlignment="1">
      <alignment vertical="center"/>
    </xf>
    <xf numFmtId="3" fontId="7" fillId="2" borderId="20" xfId="0" applyNumberFormat="1" applyFont="1" applyFill="1" applyBorder="1" applyAlignment="1">
      <alignment vertical="center"/>
    </xf>
    <xf numFmtId="3" fontId="7" fillId="0" borderId="8" xfId="0" applyNumberFormat="1" applyFont="1" applyBorder="1" applyAlignment="1">
      <alignment horizontal="right" vertical="center"/>
    </xf>
    <xf numFmtId="3" fontId="12" fillId="2" borderId="2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right" vertical="center"/>
    </xf>
    <xf numFmtId="0" fontId="12" fillId="2" borderId="4" xfId="0" applyFont="1" applyFill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7" fillId="0" borderId="10" xfId="0" applyFont="1" applyBorder="1" applyAlignment="1">
      <alignment vertical="center" wrapText="1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vertical="center" wrapText="1"/>
    </xf>
    <xf numFmtId="3" fontId="6" fillId="5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0" fontId="6" fillId="3" borderId="15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2" xfId="0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6" fillId="0" borderId="10" xfId="0" applyFont="1" applyBorder="1" applyAlignment="1">
      <alignment horizontal="right" vertical="center" wrapText="1"/>
    </xf>
    <xf numFmtId="0" fontId="16" fillId="0" borderId="3" xfId="0" applyFont="1" applyBorder="1" applyAlignment="1">
      <alignment horizontal="right" vertical="center" wrapText="1"/>
    </xf>
    <xf numFmtId="0" fontId="17" fillId="0" borderId="3" xfId="0" applyFont="1" applyBorder="1" applyAlignment="1">
      <alignment vertical="center" wrapText="1"/>
    </xf>
    <xf numFmtId="0" fontId="19" fillId="7" borderId="0" xfId="0" applyFont="1" applyFill="1" applyAlignment="1">
      <alignment vertical="center"/>
    </xf>
    <xf numFmtId="0" fontId="19" fillId="7" borderId="0" xfId="0" applyFont="1" applyFill="1" applyAlignment="1">
      <alignment vertical="center" wrapText="1"/>
    </xf>
    <xf numFmtId="3" fontId="19" fillId="7" borderId="0" xfId="0" applyNumberFormat="1" applyFont="1" applyFill="1" applyAlignment="1">
      <alignment vertical="center"/>
    </xf>
    <xf numFmtId="0" fontId="19" fillId="7" borderId="0" xfId="0" applyFont="1" applyFill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3" fontId="12" fillId="2" borderId="5" xfId="0" applyNumberFormat="1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3" fontId="6" fillId="3" borderId="13" xfId="0" applyNumberFormat="1" applyFont="1" applyFill="1" applyBorder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12" fillId="3" borderId="1" xfId="0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0" fillId="0" borderId="0" xfId="0" applyNumberFormat="1" applyAlignment="1">
      <alignment horizontal="left"/>
    </xf>
    <xf numFmtId="3" fontId="0" fillId="0" borderId="0" xfId="0" applyNumberFormat="1"/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1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right" vertical="center"/>
    </xf>
    <xf numFmtId="0" fontId="20" fillId="0" borderId="21" xfId="0" applyFont="1" applyBorder="1" applyAlignment="1">
      <alignment horizontal="left"/>
    </xf>
    <xf numFmtId="0" fontId="22" fillId="4" borderId="22" xfId="0" applyFont="1" applyFill="1" applyBorder="1" applyAlignment="1">
      <alignment horizontal="left" vertical="center"/>
    </xf>
    <xf numFmtId="3" fontId="25" fillId="0" borderId="0" xfId="0" applyNumberFormat="1" applyFont="1" applyAlignment="1">
      <alignment horizontal="right"/>
    </xf>
    <xf numFmtId="0" fontId="18" fillId="0" borderId="8" xfId="0" applyFont="1" applyBorder="1" applyAlignment="1">
      <alignment vertical="center"/>
    </xf>
    <xf numFmtId="0" fontId="10" fillId="6" borderId="0" xfId="0" applyFont="1" applyFill="1" applyAlignment="1">
      <alignment vertical="center"/>
    </xf>
    <xf numFmtId="0" fontId="1" fillId="6" borderId="0" xfId="0" applyFont="1" applyFill="1" applyAlignment="1">
      <alignment horizontal="left"/>
    </xf>
    <xf numFmtId="0" fontId="24" fillId="0" borderId="0" xfId="0" applyFont="1" applyAlignment="1">
      <alignment vertical="center" wrapText="1"/>
    </xf>
    <xf numFmtId="3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4" fillId="6" borderId="0" xfId="0" applyFont="1" applyFill="1" applyAlignment="1">
      <alignment vertical="center" wrapText="1"/>
    </xf>
    <xf numFmtId="3" fontId="24" fillId="6" borderId="0" xfId="0" applyNumberFormat="1" applyFont="1" applyFill="1" applyAlignment="1">
      <alignment vertical="center"/>
    </xf>
    <xf numFmtId="0" fontId="24" fillId="6" borderId="0" xfId="0" applyFont="1" applyFill="1" applyAlignment="1">
      <alignment vertical="center"/>
    </xf>
    <xf numFmtId="0" fontId="23" fillId="6" borderId="0" xfId="0" applyFont="1" applyFill="1" applyAlignment="1">
      <alignment horizontal="left"/>
    </xf>
    <xf numFmtId="0" fontId="29" fillId="3" borderId="13" xfId="0" applyFont="1" applyFill="1" applyBorder="1" applyAlignment="1">
      <alignment horizontal="left"/>
    </xf>
    <xf numFmtId="4" fontId="25" fillId="0" borderId="18" xfId="0" applyNumberFormat="1" applyFont="1" applyBorder="1" applyAlignment="1">
      <alignment horizontal="right"/>
    </xf>
    <xf numFmtId="3" fontId="26" fillId="4" borderId="13" xfId="0" applyNumberFormat="1" applyFont="1" applyFill="1" applyBorder="1" applyAlignment="1">
      <alignment horizontal="right" vertical="center"/>
    </xf>
    <xf numFmtId="3" fontId="26" fillId="4" borderId="14" xfId="0" applyNumberFormat="1" applyFont="1" applyFill="1" applyBorder="1" applyAlignment="1">
      <alignment horizontal="right" vertical="center"/>
    </xf>
    <xf numFmtId="0" fontId="27" fillId="4" borderId="14" xfId="0" applyFont="1" applyFill="1" applyBorder="1" applyAlignment="1">
      <alignment horizontal="right"/>
    </xf>
    <xf numFmtId="0" fontId="27" fillId="4" borderId="15" xfId="0" applyFont="1" applyFill="1" applyBorder="1" applyAlignment="1">
      <alignment horizontal="right"/>
    </xf>
    <xf numFmtId="3" fontId="17" fillId="0" borderId="2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3" fontId="17" fillId="3" borderId="13" xfId="0" applyNumberFormat="1" applyFont="1" applyFill="1" applyBorder="1" applyAlignment="1">
      <alignment vertical="center"/>
    </xf>
    <xf numFmtId="3" fontId="17" fillId="3" borderId="14" xfId="0" applyNumberFormat="1" applyFont="1" applyFill="1" applyBorder="1" applyAlignment="1">
      <alignment vertical="center"/>
    </xf>
    <xf numFmtId="3" fontId="28" fillId="3" borderId="14" xfId="0" applyNumberFormat="1" applyFont="1" applyFill="1" applyBorder="1" applyAlignment="1">
      <alignment horizontal="right"/>
    </xf>
    <xf numFmtId="4" fontId="25" fillId="3" borderId="15" xfId="0" applyNumberFormat="1" applyFont="1" applyFill="1" applyBorder="1" applyAlignment="1">
      <alignment horizontal="right"/>
    </xf>
    <xf numFmtId="3" fontId="17" fillId="0" borderId="16" xfId="0" applyNumberFormat="1" applyFont="1" applyBorder="1" applyAlignment="1">
      <alignment horizontal="right" vertical="center"/>
    </xf>
    <xf numFmtId="3" fontId="17" fillId="0" borderId="17" xfId="0" applyNumberFormat="1" applyFont="1" applyBorder="1" applyAlignment="1">
      <alignment horizontal="right" vertical="center"/>
    </xf>
    <xf numFmtId="0" fontId="30" fillId="4" borderId="0" xfId="0" applyFont="1" applyFill="1" applyAlignment="1">
      <alignment horizontal="left"/>
    </xf>
    <xf numFmtId="0" fontId="31" fillId="4" borderId="0" xfId="0" applyFont="1" applyFill="1" applyAlignment="1">
      <alignment horizontal="left" vertical="center"/>
    </xf>
    <xf numFmtId="3" fontId="30" fillId="4" borderId="0" xfId="0" applyNumberFormat="1" applyFont="1" applyFill="1"/>
    <xf numFmtId="3" fontId="30" fillId="4" borderId="0" xfId="0" applyNumberFormat="1" applyFont="1" applyFill="1" applyAlignment="1">
      <alignment horizontal="left"/>
    </xf>
    <xf numFmtId="0" fontId="30" fillId="4" borderId="0" xfId="0" applyFont="1" applyFill="1" applyAlignment="1">
      <alignment horizontal="right"/>
    </xf>
    <xf numFmtId="0" fontId="32" fillId="8" borderId="0" xfId="0" applyFont="1" applyFill="1" applyAlignment="1">
      <alignment vertical="center"/>
    </xf>
    <xf numFmtId="0" fontId="32" fillId="8" borderId="0" xfId="0" applyFont="1" applyFill="1" applyAlignment="1">
      <alignment vertical="center" wrapText="1"/>
    </xf>
    <xf numFmtId="3" fontId="32" fillId="8" borderId="0" xfId="0" applyNumberFormat="1" applyFont="1" applyFill="1" applyAlignment="1">
      <alignment vertical="center"/>
    </xf>
    <xf numFmtId="3" fontId="6" fillId="8" borderId="13" xfId="0" applyNumberFormat="1" applyFont="1" applyFill="1" applyBorder="1" applyAlignment="1">
      <alignment vertical="center" wrapText="1"/>
    </xf>
    <xf numFmtId="0" fontId="6" fillId="8" borderId="15" xfId="0" applyFont="1" applyFill="1" applyBorder="1" applyAlignment="1">
      <alignment vertical="center"/>
    </xf>
    <xf numFmtId="0" fontId="11" fillId="6" borderId="0" xfId="0" applyFont="1" applyFill="1" applyAlignment="1">
      <alignment vertical="center"/>
    </xf>
    <xf numFmtId="1" fontId="9" fillId="3" borderId="6" xfId="0" applyNumberFormat="1" applyFont="1" applyFill="1" applyBorder="1" applyAlignment="1">
      <alignment vertical="center" wrapText="1"/>
    </xf>
    <xf numFmtId="3" fontId="14" fillId="5" borderId="7" xfId="0" applyNumberFormat="1" applyFont="1" applyFill="1" applyBorder="1" applyAlignment="1">
      <alignment horizontal="right" vertical="center"/>
    </xf>
    <xf numFmtId="0" fontId="12" fillId="0" borderId="11" xfId="0" applyFont="1" applyBorder="1" applyAlignment="1">
      <alignment vertical="center"/>
    </xf>
    <xf numFmtId="3" fontId="12" fillId="2" borderId="8" xfId="0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2" fillId="2" borderId="24" xfId="0" applyFont="1" applyFill="1" applyBorder="1" applyAlignment="1">
      <alignment vertical="center"/>
    </xf>
    <xf numFmtId="0" fontId="12" fillId="2" borderId="26" xfId="0" applyFont="1" applyFill="1" applyBorder="1" applyAlignment="1">
      <alignment vertical="center"/>
    </xf>
    <xf numFmtId="0" fontId="13" fillId="2" borderId="26" xfId="0" applyFont="1" applyFill="1" applyBorder="1" applyAlignment="1">
      <alignment horizontal="center" vertical="center"/>
    </xf>
    <xf numFmtId="3" fontId="13" fillId="2" borderId="27" xfId="0" applyNumberFormat="1" applyFont="1" applyFill="1" applyBorder="1" applyAlignment="1">
      <alignment horizontal="center" vertical="center"/>
    </xf>
    <xf numFmtId="0" fontId="12" fillId="0" borderId="28" xfId="0" applyFont="1" applyBorder="1" applyAlignment="1">
      <alignment vertical="center"/>
    </xf>
    <xf numFmtId="3" fontId="14" fillId="5" borderId="20" xfId="0" applyNumberFormat="1" applyFont="1" applyFill="1" applyBorder="1" applyAlignment="1">
      <alignment horizontal="right" vertical="center"/>
    </xf>
    <xf numFmtId="0" fontId="12" fillId="5" borderId="20" xfId="0" applyFont="1" applyFill="1" applyBorder="1" applyAlignment="1">
      <alignment horizontal="right" vertical="center"/>
    </xf>
    <xf numFmtId="0" fontId="12" fillId="5" borderId="19" xfId="0" applyFont="1" applyFill="1" applyBorder="1" applyAlignment="1">
      <alignment vertical="center"/>
    </xf>
    <xf numFmtId="3" fontId="14" fillId="2" borderId="5" xfId="0" applyNumberFormat="1" applyFont="1" applyFill="1" applyBorder="1" applyAlignment="1">
      <alignment vertical="center"/>
    </xf>
    <xf numFmtId="3" fontId="10" fillId="0" borderId="3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4" fontId="6" fillId="3" borderId="13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29" fillId="3" borderId="0" xfId="0" applyFont="1" applyFill="1" applyAlignment="1">
      <alignment horizontal="left"/>
    </xf>
    <xf numFmtId="3" fontId="12" fillId="3" borderId="4" xfId="0" applyNumberFormat="1" applyFont="1" applyFill="1" applyBorder="1" applyAlignment="1">
      <alignment vertical="center"/>
    </xf>
    <xf numFmtId="3" fontId="14" fillId="2" borderId="4" xfId="0" applyNumberFormat="1" applyFont="1" applyFill="1" applyBorder="1" applyAlignment="1">
      <alignment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3" fontId="11" fillId="0" borderId="3" xfId="0" applyNumberFormat="1" applyFont="1" applyBorder="1" applyAlignment="1">
      <alignment vertical="center" wrapText="1"/>
    </xf>
    <xf numFmtId="3" fontId="12" fillId="3" borderId="4" xfId="0" applyNumberFormat="1" applyFont="1" applyFill="1" applyBorder="1" applyAlignment="1">
      <alignment horizontal="center" vertical="center"/>
    </xf>
    <xf numFmtId="3" fontId="12" fillId="2" borderId="19" xfId="0" applyNumberFormat="1" applyFont="1" applyFill="1" applyBorder="1" applyAlignment="1">
      <alignment horizontal="right" vertical="center"/>
    </xf>
    <xf numFmtId="0" fontId="33" fillId="3" borderId="0" xfId="0" applyFont="1" applyFill="1" applyAlignment="1">
      <alignment horizontal="left"/>
    </xf>
    <xf numFmtId="0" fontId="33" fillId="3" borderId="0" xfId="0" applyFont="1" applyFill="1" applyAlignment="1">
      <alignment horizontal="right"/>
    </xf>
    <xf numFmtId="3" fontId="18" fillId="8" borderId="0" xfId="0" applyNumberFormat="1" applyFont="1" applyFill="1" applyAlignment="1">
      <alignment vertical="center"/>
    </xf>
    <xf numFmtId="3" fontId="11" fillId="7" borderId="0" xfId="0" applyNumberFormat="1" applyFont="1" applyFill="1" applyAlignment="1">
      <alignment vertical="center"/>
    </xf>
    <xf numFmtId="0" fontId="11" fillId="5" borderId="0" xfId="0" applyFont="1" applyFill="1" applyAlignment="1">
      <alignment vertical="center"/>
    </xf>
    <xf numFmtId="3" fontId="11" fillId="5" borderId="0" xfId="0" applyNumberFormat="1" applyFont="1" applyFill="1" applyAlignment="1">
      <alignment vertical="center"/>
    </xf>
    <xf numFmtId="3" fontId="10" fillId="0" borderId="0" xfId="0" applyNumberFormat="1" applyFont="1" applyAlignment="1">
      <alignment vertical="center"/>
    </xf>
    <xf numFmtId="3" fontId="11" fillId="5" borderId="20" xfId="0" applyNumberFormat="1" applyFont="1" applyFill="1" applyBorder="1" applyAlignment="1">
      <alignment vertical="center"/>
    </xf>
    <xf numFmtId="3" fontId="14" fillId="2" borderId="25" xfId="0" applyNumberFormat="1" applyFont="1" applyFill="1" applyBorder="1" applyAlignment="1">
      <alignment vertical="center"/>
    </xf>
    <xf numFmtId="3" fontId="14" fillId="2" borderId="7" xfId="0" applyNumberFormat="1" applyFont="1" applyFill="1" applyBorder="1" applyAlignment="1">
      <alignment horizontal="right" vertical="center"/>
    </xf>
    <xf numFmtId="0" fontId="10" fillId="6" borderId="0" xfId="0" applyFont="1" applyFill="1" applyAlignment="1">
      <alignment vertical="center" wrapText="1"/>
    </xf>
    <xf numFmtId="3" fontId="10" fillId="6" borderId="0" xfId="0" applyNumberFormat="1" applyFont="1" applyFill="1" applyAlignment="1">
      <alignment vertical="center"/>
    </xf>
    <xf numFmtId="3" fontId="10" fillId="0" borderId="5" xfId="0" applyNumberFormat="1" applyFont="1" applyBorder="1" applyAlignment="1">
      <alignment vertical="center"/>
    </xf>
    <xf numFmtId="0" fontId="21" fillId="3" borderId="6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27" fillId="7" borderId="23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/>
    </xf>
    <xf numFmtId="0" fontId="18" fillId="7" borderId="0" xfId="0" applyFont="1" applyFill="1" applyAlignment="1">
      <alignment vertical="center"/>
    </xf>
    <xf numFmtId="0" fontId="10" fillId="7" borderId="0" xfId="0" applyFont="1" applyFill="1" applyAlignment="1">
      <alignment vertical="center"/>
    </xf>
    <xf numFmtId="0" fontId="15" fillId="7" borderId="29" xfId="0" applyFont="1" applyFill="1" applyBorder="1" applyAlignment="1">
      <alignment vertical="center" wrapText="1"/>
    </xf>
    <xf numFmtId="3" fontId="12" fillId="7" borderId="4" xfId="0" applyNumberFormat="1" applyFont="1" applyFill="1" applyBorder="1" applyAlignment="1">
      <alignment vertical="center"/>
    </xf>
    <xf numFmtId="3" fontId="14" fillId="7" borderId="4" xfId="0" applyNumberFormat="1" applyFont="1" applyFill="1" applyBorder="1" applyAlignment="1">
      <alignment vertical="center"/>
    </xf>
    <xf numFmtId="0" fontId="12" fillId="7" borderId="4" xfId="0" applyFont="1" applyFill="1" applyBorder="1" applyAlignment="1">
      <alignment horizontal="center" vertical="center"/>
    </xf>
    <xf numFmtId="3" fontId="12" fillId="7" borderId="30" xfId="0" applyNumberFormat="1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vertical="center"/>
    </xf>
    <xf numFmtId="0" fontId="14" fillId="7" borderId="4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3" fontId="3" fillId="0" borderId="3" xfId="0" applyNumberFormat="1" applyFont="1" applyBorder="1" applyAlignment="1">
      <alignment vertical="center"/>
    </xf>
    <xf numFmtId="3" fontId="2" fillId="3" borderId="3" xfId="0" applyNumberFormat="1" applyFont="1" applyFill="1" applyBorder="1" applyAlignment="1">
      <alignment vertical="center"/>
    </xf>
    <xf numFmtId="164" fontId="2" fillId="3" borderId="35" xfId="0" applyNumberFormat="1" applyFont="1" applyFill="1" applyBorder="1" applyAlignment="1">
      <alignment vertical="center"/>
    </xf>
    <xf numFmtId="0" fontId="2" fillId="4" borderId="36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right"/>
    </xf>
    <xf numFmtId="3" fontId="5" fillId="0" borderId="14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left" vertical="center"/>
    </xf>
    <xf numFmtId="0" fontId="1" fillId="0" borderId="15" xfId="0" applyFont="1" applyBorder="1" applyAlignment="1">
      <alignment horizontal="left"/>
    </xf>
    <xf numFmtId="0" fontId="2" fillId="4" borderId="39" xfId="0" applyFont="1" applyFill="1" applyBorder="1" applyAlignment="1">
      <alignment horizontal="left" vertical="center"/>
    </xf>
    <xf numFmtId="0" fontId="2" fillId="4" borderId="41" xfId="0" applyFont="1" applyFill="1" applyBorder="1" applyAlignment="1">
      <alignment horizontal="left" vertical="center"/>
    </xf>
    <xf numFmtId="0" fontId="2" fillId="4" borderId="43" xfId="0" applyFont="1" applyFill="1" applyBorder="1" applyAlignment="1">
      <alignment horizontal="left" vertical="center" wrapText="1"/>
    </xf>
    <xf numFmtId="3" fontId="2" fillId="0" borderId="40" xfId="0" applyNumberFormat="1" applyFont="1" applyBorder="1" applyAlignment="1">
      <alignment vertical="center"/>
    </xf>
    <xf numFmtId="3" fontId="2" fillId="0" borderId="42" xfId="0" applyNumberFormat="1" applyFont="1" applyBorder="1" applyAlignment="1">
      <alignment vertical="center"/>
    </xf>
    <xf numFmtId="3" fontId="2" fillId="0" borderId="34" xfId="0" applyNumberFormat="1" applyFont="1" applyBorder="1" applyAlignment="1">
      <alignment vertical="center"/>
    </xf>
    <xf numFmtId="3" fontId="34" fillId="0" borderId="1" xfId="0" applyNumberFormat="1" applyFont="1" applyBorder="1" applyAlignment="1">
      <alignment vertical="center"/>
    </xf>
    <xf numFmtId="4" fontId="34" fillId="3" borderId="1" xfId="0" applyNumberFormat="1" applyFont="1" applyFill="1" applyBorder="1" applyAlignment="1">
      <alignment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0" fillId="0" borderId="39" xfId="0" applyBorder="1"/>
    <xf numFmtId="3" fontId="0" fillId="0" borderId="44" xfId="0" applyNumberFormat="1" applyBorder="1"/>
    <xf numFmtId="4" fontId="0" fillId="3" borderId="40" xfId="0" applyNumberFormat="1" applyFill="1" applyBorder="1"/>
    <xf numFmtId="0" fontId="0" fillId="0" borderId="41" xfId="0" applyBorder="1"/>
    <xf numFmtId="4" fontId="0" fillId="3" borderId="42" xfId="0" applyNumberFormat="1" applyFill="1" applyBorder="1"/>
    <xf numFmtId="0" fontId="0" fillId="0" borderId="43" xfId="0" applyBorder="1"/>
    <xf numFmtId="3" fontId="0" fillId="0" borderId="33" xfId="0" applyNumberFormat="1" applyBorder="1"/>
    <xf numFmtId="4" fontId="0" fillId="3" borderId="34" xfId="0" applyNumberFormat="1" applyFill="1" applyBorder="1"/>
    <xf numFmtId="0" fontId="35" fillId="0" borderId="0" xfId="0" applyFont="1"/>
    <xf numFmtId="0" fontId="13" fillId="5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955564980606933"/>
          <c:y val="8.0638237052051656E-2"/>
          <c:w val="0.62850405994332692"/>
          <c:h val="0.6817088952989786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'GRAPH ANR OFFSET'!$C$2</c:f>
              <c:strCache>
                <c:ptCount val="1"/>
                <c:pt idx="0">
                  <c:v>COST/HA (US$)</c:v>
                </c:pt>
              </c:strCache>
            </c:strRef>
          </c:tx>
          <c:spPr>
            <a:ln w="412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50800">
                <a:solidFill>
                  <a:schemeClr val="tx1"/>
                </a:solidFill>
              </a:ln>
              <a:effectLst/>
            </c:spPr>
          </c:marker>
          <c:xVal>
            <c:numRef>
              <c:f>'GRAPH ANR OFFSET'!$B$3:$B$6</c:f>
              <c:numCache>
                <c:formatCode>General</c:formatCode>
                <c:ptCount val="4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</c:numCache>
            </c:numRef>
          </c:xVal>
          <c:yVal>
            <c:numRef>
              <c:f>'GRAPH ANR OFFSET'!$C$3:$C$6</c:f>
              <c:numCache>
                <c:formatCode>#,##0</c:formatCode>
                <c:ptCount val="4"/>
                <c:pt idx="0">
                  <c:v>4896</c:v>
                </c:pt>
                <c:pt idx="1">
                  <c:v>3949</c:v>
                </c:pt>
                <c:pt idx="2">
                  <c:v>3002</c:v>
                </c:pt>
                <c:pt idx="3">
                  <c:v>2054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88-446B-A21E-55D374F55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139624"/>
        <c:axId val="325143232"/>
      </c:scatterChart>
      <c:valAx>
        <c:axId val="325139624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NATURAL REGENERATION (TREES/HA)</a:t>
                </a:r>
              </a:p>
            </c:rich>
          </c:tx>
          <c:layout>
            <c:manualLayout>
              <c:xMode val="edge"/>
              <c:yMode val="edge"/>
              <c:x val="0.25394284730802091"/>
              <c:y val="0.857586658695126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143232"/>
        <c:crosses val="autoZero"/>
        <c:crossBetween val="midCat"/>
      </c:valAx>
      <c:valAx>
        <c:axId val="325143232"/>
        <c:scaling>
          <c:orientation val="minMax"/>
          <c:max val="5000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US$ PER HECTARE</a:t>
                </a:r>
              </a:p>
            </c:rich>
          </c:tx>
          <c:layout>
            <c:manualLayout>
              <c:xMode val="edge"/>
              <c:yMode val="edge"/>
              <c:x val="2.008347317241083E-2"/>
              <c:y val="0.17016803836515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13962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169545</xdr:colOff>
      <xdr:row>0</xdr:row>
      <xdr:rowOff>139700</xdr:rowOff>
    </xdr:from>
    <xdr:to>
      <xdr:col>12</xdr:col>
      <xdr:colOff>137160</xdr:colOff>
      <xdr:row>17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D5A386-79B7-460C-A9D2-CC23A2D67A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"/>
  <sheetViews>
    <sheetView zoomScale="132" zoomScaleNormal="132" workbookViewId="0">
      <selection activeCell="I9" sqref="I9"/>
    </sheetView>
  </sheetViews>
  <sheetFormatPr defaultColWidth="28.33203125" defaultRowHeight="13.8" x14ac:dyDescent="0.3"/>
  <cols>
    <col min="1" max="1" width="3.21875" style="39" customWidth="1"/>
    <col min="2" max="2" width="2.109375" style="36" customWidth="1"/>
    <col min="3" max="3" width="34" style="44" customWidth="1"/>
    <col min="4" max="4" width="7.5546875" style="17" customWidth="1"/>
    <col min="5" max="5" width="8.6640625" style="123" customWidth="1"/>
    <col min="6" max="6" width="7.5546875" style="1" customWidth="1"/>
    <col min="7" max="7" width="9.21875" style="19" customWidth="1"/>
    <col min="8" max="8" width="9.6640625" style="1" customWidth="1"/>
    <col min="9" max="9" width="10" style="28" customWidth="1"/>
    <col min="10" max="10" width="46" style="3" customWidth="1"/>
    <col min="11" max="11" width="6.5546875" style="17" bestFit="1" customWidth="1"/>
    <col min="12" max="12" width="8.33203125" style="1" customWidth="1"/>
    <col min="13" max="13" width="11.33203125" style="1" customWidth="1"/>
    <col min="14" max="14" width="13.33203125" style="1" bestFit="1" customWidth="1"/>
    <col min="15" max="15" width="6.5546875" style="1" bestFit="1" customWidth="1"/>
    <col min="16" max="16384" width="28.33203125" style="1"/>
  </cols>
  <sheetData>
    <row r="1" spans="1:12" s="102" customFormat="1" ht="21" x14ac:dyDescent="0.3">
      <c r="B1" s="102" t="s">
        <v>109</v>
      </c>
      <c r="C1" s="103"/>
      <c r="D1" s="104"/>
      <c r="E1" s="141"/>
      <c r="G1" s="104"/>
      <c r="J1" s="103"/>
      <c r="K1" s="104"/>
    </row>
    <row r="2" spans="1:12" s="102" customFormat="1" ht="21" x14ac:dyDescent="0.3">
      <c r="B2" s="102" t="s">
        <v>107</v>
      </c>
      <c r="D2" s="104"/>
      <c r="E2" s="141"/>
      <c r="G2" s="104"/>
      <c r="J2" s="103"/>
      <c r="K2" s="104"/>
    </row>
    <row r="3" spans="1:12" s="102" customFormat="1" ht="21" x14ac:dyDescent="0.3">
      <c r="B3" s="102" t="s">
        <v>24</v>
      </c>
      <c r="D3" s="104"/>
      <c r="E3" s="141"/>
      <c r="G3" s="104"/>
      <c r="J3" s="103"/>
      <c r="K3" s="104"/>
    </row>
    <row r="4" spans="1:12" s="102" customFormat="1" ht="21" x14ac:dyDescent="0.3">
      <c r="B4" s="102" t="s">
        <v>23</v>
      </c>
      <c r="D4" s="104"/>
      <c r="E4" s="141"/>
      <c r="G4" s="104"/>
      <c r="J4" s="103"/>
      <c r="K4" s="104"/>
    </row>
    <row r="5" spans="1:12" s="45" customFormat="1" ht="23.4" x14ac:dyDescent="0.3">
      <c r="A5" s="38">
        <v>5</v>
      </c>
      <c r="B5" s="45" t="s">
        <v>45</v>
      </c>
      <c r="C5" s="46"/>
      <c r="D5" s="47"/>
      <c r="E5" s="142"/>
      <c r="G5" s="47"/>
      <c r="I5" s="48" t="s">
        <v>10</v>
      </c>
      <c r="J5" s="46"/>
    </row>
    <row r="6" spans="1:12" s="33" customFormat="1" ht="14.4" x14ac:dyDescent="0.3">
      <c r="A6" s="38">
        <v>6</v>
      </c>
      <c r="B6" s="33">
        <v>1</v>
      </c>
      <c r="C6" s="33" t="s">
        <v>25</v>
      </c>
      <c r="E6" s="143" t="s">
        <v>27</v>
      </c>
    </row>
    <row r="7" spans="1:12" s="33" customFormat="1" ht="15" thickBot="1" x14ac:dyDescent="0.35">
      <c r="A7" s="38">
        <v>7</v>
      </c>
      <c r="C7" s="33" t="s">
        <v>110</v>
      </c>
      <c r="D7" s="34"/>
      <c r="E7" s="144"/>
      <c r="F7" s="35"/>
    </row>
    <row r="8" spans="1:12" s="33" customFormat="1" ht="15" thickBot="1" x14ac:dyDescent="0.35">
      <c r="A8" s="38">
        <v>8</v>
      </c>
      <c r="C8" s="33" t="s">
        <v>78</v>
      </c>
      <c r="D8" s="34"/>
      <c r="E8" s="144"/>
      <c r="F8" s="35"/>
      <c r="H8" s="35"/>
      <c r="I8" s="55">
        <v>1000</v>
      </c>
      <c r="J8" s="37" t="s">
        <v>26</v>
      </c>
    </row>
    <row r="9" spans="1:12" s="33" customFormat="1" ht="15" thickBot="1" x14ac:dyDescent="0.35">
      <c r="A9" s="38">
        <v>9</v>
      </c>
      <c r="C9" s="33" t="s">
        <v>108</v>
      </c>
      <c r="D9" s="34"/>
      <c r="E9" s="144"/>
      <c r="F9" s="35"/>
      <c r="H9" s="35"/>
      <c r="I9" s="35">
        <f>3086-I8</f>
        <v>2086</v>
      </c>
      <c r="J9" s="33" t="s">
        <v>26</v>
      </c>
    </row>
    <row r="10" spans="1:12" s="33" customFormat="1" ht="15" thickBot="1" x14ac:dyDescent="0.35">
      <c r="A10" s="38">
        <v>10</v>
      </c>
      <c r="B10" s="33">
        <v>2</v>
      </c>
      <c r="C10" s="33" t="s">
        <v>79</v>
      </c>
      <c r="D10" s="34"/>
      <c r="E10" s="144"/>
      <c r="F10" s="35"/>
      <c r="H10" s="35"/>
      <c r="I10" s="55">
        <v>80</v>
      </c>
      <c r="J10" s="37" t="s">
        <v>28</v>
      </c>
    </row>
    <row r="11" spans="1:12" s="33" customFormat="1" ht="15" thickBot="1" x14ac:dyDescent="0.35">
      <c r="A11" s="38">
        <v>11</v>
      </c>
      <c r="C11" s="33" t="s">
        <v>80</v>
      </c>
      <c r="D11" s="34"/>
      <c r="E11" s="144"/>
      <c r="F11" s="35"/>
      <c r="H11" s="35"/>
      <c r="I11" s="55">
        <v>80</v>
      </c>
      <c r="J11" s="37" t="s">
        <v>28</v>
      </c>
    </row>
    <row r="12" spans="1:12" s="33" customFormat="1" ht="15" thickBot="1" x14ac:dyDescent="0.35">
      <c r="A12" s="38">
        <v>12</v>
      </c>
      <c r="C12" s="33" t="s">
        <v>81</v>
      </c>
      <c r="D12" s="34"/>
      <c r="E12" s="144"/>
      <c r="F12" s="35"/>
      <c r="H12" s="35"/>
      <c r="I12" s="55">
        <v>42</v>
      </c>
      <c r="J12" s="37" t="s">
        <v>29</v>
      </c>
    </row>
    <row r="13" spans="1:12" s="33" customFormat="1" ht="15" thickBot="1" x14ac:dyDescent="0.35">
      <c r="A13" s="38">
        <v>13</v>
      </c>
      <c r="C13" s="33" t="s">
        <v>82</v>
      </c>
      <c r="D13" s="34"/>
      <c r="E13" s="144"/>
      <c r="F13" s="35"/>
      <c r="H13" s="35"/>
      <c r="I13" s="55">
        <v>12</v>
      </c>
      <c r="J13" s="37" t="s">
        <v>36</v>
      </c>
    </row>
    <row r="14" spans="1:12" s="33" customFormat="1" ht="15" thickBot="1" x14ac:dyDescent="0.35">
      <c r="A14" s="38">
        <v>14</v>
      </c>
      <c r="B14" s="33">
        <v>3</v>
      </c>
      <c r="C14" s="33" t="s">
        <v>83</v>
      </c>
      <c r="D14" s="34"/>
      <c r="E14" s="144"/>
      <c r="F14" s="35"/>
      <c r="H14" s="35"/>
      <c r="I14" s="55">
        <v>350</v>
      </c>
      <c r="J14" s="37" t="s">
        <v>30</v>
      </c>
    </row>
    <row r="15" spans="1:12" s="33" customFormat="1" ht="15" thickBot="1" x14ac:dyDescent="0.35">
      <c r="A15" s="38">
        <v>15</v>
      </c>
      <c r="C15" s="33" t="s">
        <v>84</v>
      </c>
      <c r="D15" s="34"/>
      <c r="E15" s="144"/>
      <c r="F15" s="35"/>
      <c r="H15" s="35"/>
      <c r="I15" s="55">
        <v>22000</v>
      </c>
      <c r="J15" s="37" t="s">
        <v>75</v>
      </c>
      <c r="K15" s="105">
        <f>I15/22</f>
        <v>1000</v>
      </c>
      <c r="L15" s="106" t="s">
        <v>76</v>
      </c>
    </row>
    <row r="16" spans="1:12" s="33" customFormat="1" ht="15" thickBot="1" x14ac:dyDescent="0.35">
      <c r="A16" s="38">
        <v>16</v>
      </c>
      <c r="C16" s="33" t="s">
        <v>85</v>
      </c>
      <c r="D16" s="34"/>
      <c r="E16" s="144"/>
      <c r="F16" s="35"/>
      <c r="H16" s="35"/>
      <c r="I16" s="125">
        <v>20</v>
      </c>
      <c r="J16" s="37" t="s">
        <v>87</v>
      </c>
    </row>
    <row r="17" spans="1:11" s="33" customFormat="1" ht="15" thickBot="1" x14ac:dyDescent="0.35">
      <c r="A17" s="38">
        <v>17</v>
      </c>
      <c r="C17" s="33" t="s">
        <v>86</v>
      </c>
      <c r="D17" s="34"/>
      <c r="E17" s="144"/>
      <c r="F17" s="35"/>
      <c r="H17" s="35"/>
      <c r="I17" s="55">
        <v>5</v>
      </c>
      <c r="J17" s="37" t="s">
        <v>37</v>
      </c>
    </row>
    <row r="18" spans="1:11" s="6" customFormat="1" ht="14.4" thickBot="1" x14ac:dyDescent="0.35">
      <c r="A18" s="38">
        <v>18</v>
      </c>
      <c r="B18" s="36"/>
      <c r="C18" s="22"/>
      <c r="D18" s="20"/>
      <c r="E18" s="145"/>
      <c r="G18" s="20"/>
      <c r="I18" s="15"/>
      <c r="J18" s="5"/>
    </row>
    <row r="19" spans="1:11" ht="14.4" thickBot="1" x14ac:dyDescent="0.35">
      <c r="A19" s="38">
        <v>19</v>
      </c>
      <c r="B19" s="107" t="s">
        <v>16</v>
      </c>
      <c r="C19" s="40"/>
      <c r="D19" s="109" t="s">
        <v>0</v>
      </c>
      <c r="E19" s="146" t="s">
        <v>118</v>
      </c>
      <c r="F19" s="118" t="s">
        <v>1</v>
      </c>
      <c r="G19" s="205" t="s">
        <v>33</v>
      </c>
      <c r="H19" s="205"/>
      <c r="I19" s="119" t="s">
        <v>15</v>
      </c>
      <c r="J19" s="120" t="s">
        <v>22</v>
      </c>
      <c r="K19" s="2"/>
    </row>
    <row r="20" spans="1:11" s="30" customFormat="1" ht="14.4" thickBot="1" x14ac:dyDescent="0.35">
      <c r="A20" s="38">
        <v>20</v>
      </c>
      <c r="B20" s="74"/>
      <c r="C20" s="110"/>
      <c r="D20" s="113"/>
      <c r="E20" s="147"/>
      <c r="F20" s="114"/>
      <c r="G20" s="115" t="s">
        <v>31</v>
      </c>
      <c r="H20" s="116" t="s">
        <v>32</v>
      </c>
      <c r="I20" s="114"/>
      <c r="J20" s="117"/>
    </row>
    <row r="21" spans="1:11" s="7" customFormat="1" ht="14.4" thickBot="1" x14ac:dyDescent="0.35">
      <c r="A21" s="38">
        <v>21</v>
      </c>
      <c r="B21" s="74"/>
      <c r="C21" s="41" t="s">
        <v>46</v>
      </c>
      <c r="D21" s="53"/>
      <c r="E21" s="121"/>
      <c r="F21" s="53"/>
      <c r="G21" s="54"/>
      <c r="H21" s="111"/>
      <c r="I21" s="54"/>
      <c r="J21" s="112"/>
    </row>
    <row r="22" spans="1:11" s="11" customFormat="1" ht="14.4" thickBot="1" x14ac:dyDescent="0.35">
      <c r="A22" s="38">
        <v>22</v>
      </c>
      <c r="B22" s="74" t="s">
        <v>12</v>
      </c>
      <c r="C22" s="42" t="s">
        <v>34</v>
      </c>
      <c r="D22" s="14">
        <v>1</v>
      </c>
      <c r="E22" s="122" t="s">
        <v>119</v>
      </c>
      <c r="F22" s="14">
        <v>1800</v>
      </c>
      <c r="G22" s="14">
        <f>D22*F22</f>
        <v>1800</v>
      </c>
      <c r="H22" s="26">
        <v>0</v>
      </c>
      <c r="I22" s="14">
        <f>SUM(G22:H22)</f>
        <v>1800</v>
      </c>
      <c r="J22" s="50" t="s">
        <v>38</v>
      </c>
    </row>
    <row r="23" spans="1:11" s="11" customFormat="1" x14ac:dyDescent="0.3">
      <c r="A23" s="38">
        <v>23</v>
      </c>
      <c r="B23" s="74" t="s">
        <v>12</v>
      </c>
      <c r="C23" s="42" t="s">
        <v>35</v>
      </c>
      <c r="D23" s="14">
        <f>I11*D22</f>
        <v>80</v>
      </c>
      <c r="E23" s="123" t="s">
        <v>28</v>
      </c>
      <c r="F23" s="14">
        <f>I12/I13</f>
        <v>3.5</v>
      </c>
      <c r="G23" s="14">
        <f>D23*F23</f>
        <v>280</v>
      </c>
      <c r="H23" s="26">
        <v>0</v>
      </c>
      <c r="I23" s="14">
        <f>SUM(G23:H23)</f>
        <v>280</v>
      </c>
      <c r="J23" s="49"/>
    </row>
    <row r="24" spans="1:11" x14ac:dyDescent="0.3">
      <c r="A24" s="38">
        <v>24</v>
      </c>
      <c r="B24" s="74" t="s">
        <v>13</v>
      </c>
      <c r="C24" s="43" t="s">
        <v>2</v>
      </c>
      <c r="D24" s="9">
        <v>1</v>
      </c>
      <c r="E24" s="123" t="s">
        <v>120</v>
      </c>
      <c r="F24" s="9">
        <v>300</v>
      </c>
      <c r="G24" s="9">
        <f>D24*F24</f>
        <v>300</v>
      </c>
      <c r="H24" s="8">
        <v>0</v>
      </c>
      <c r="I24" s="9">
        <f>SUM(G24:H24)</f>
        <v>300</v>
      </c>
      <c r="J24" s="13"/>
      <c r="K24" s="1"/>
    </row>
    <row r="25" spans="1:11" ht="25.2" x14ac:dyDescent="0.3">
      <c r="A25" s="38">
        <v>25</v>
      </c>
      <c r="B25" s="74" t="s">
        <v>11</v>
      </c>
      <c r="C25" s="43" t="s">
        <v>61</v>
      </c>
      <c r="D25" s="9">
        <v>2</v>
      </c>
      <c r="E25" s="123" t="s">
        <v>121</v>
      </c>
      <c r="F25" s="9">
        <f>K15</f>
        <v>1000</v>
      </c>
      <c r="G25" s="9">
        <f>D25*F25</f>
        <v>2000</v>
      </c>
      <c r="H25" s="8">
        <v>0</v>
      </c>
      <c r="I25" s="9">
        <f>SUM(G25:H25)</f>
        <v>2000</v>
      </c>
      <c r="J25" s="13"/>
      <c r="K25" s="1"/>
    </row>
    <row r="26" spans="1:11" s="7" customFormat="1" x14ac:dyDescent="0.3">
      <c r="A26" s="38">
        <v>26</v>
      </c>
      <c r="B26" s="74"/>
      <c r="C26" s="41" t="s">
        <v>17</v>
      </c>
      <c r="D26" s="16"/>
      <c r="E26" s="124"/>
      <c r="F26" s="16"/>
      <c r="H26" s="27"/>
      <c r="I26" s="27"/>
      <c r="J26" s="12"/>
    </row>
    <row r="27" spans="1:11" s="11" customFormat="1" ht="20.399999999999999" x14ac:dyDescent="0.3">
      <c r="A27" s="38">
        <v>27</v>
      </c>
      <c r="B27" s="74" t="s">
        <v>14</v>
      </c>
      <c r="C27" s="42" t="s">
        <v>42</v>
      </c>
      <c r="D27" s="14">
        <f>I16*6.25*3</f>
        <v>375</v>
      </c>
      <c r="E27" s="123" t="s">
        <v>121</v>
      </c>
      <c r="F27" s="14">
        <f>I14</f>
        <v>350</v>
      </c>
      <c r="G27" s="14">
        <f>D27*F27</f>
        <v>131250</v>
      </c>
      <c r="H27" s="26">
        <v>0</v>
      </c>
      <c r="I27" s="14">
        <f t="shared" ref="I27:I35" si="0">SUM(G27:H27)</f>
        <v>131250</v>
      </c>
      <c r="J27" s="13" t="s">
        <v>47</v>
      </c>
    </row>
    <row r="28" spans="1:11" s="11" customFormat="1" x14ac:dyDescent="0.3">
      <c r="A28" s="38">
        <v>28</v>
      </c>
      <c r="B28" s="74" t="s">
        <v>14</v>
      </c>
      <c r="C28" s="42" t="s">
        <v>43</v>
      </c>
      <c r="D28" s="14">
        <f>I16</f>
        <v>20</v>
      </c>
      <c r="E28" s="123" t="s">
        <v>121</v>
      </c>
      <c r="F28" s="14">
        <f>I14*1.5</f>
        <v>525</v>
      </c>
      <c r="G28" s="14">
        <f>D28*F28</f>
        <v>10500</v>
      </c>
      <c r="H28" s="26">
        <v>0</v>
      </c>
      <c r="I28" s="14">
        <f t="shared" si="0"/>
        <v>10500</v>
      </c>
      <c r="J28" s="13" t="s">
        <v>48</v>
      </c>
    </row>
    <row r="29" spans="1:11" s="11" customFormat="1" ht="14.4" thickBot="1" x14ac:dyDescent="0.35">
      <c r="A29" s="38">
        <v>29</v>
      </c>
      <c r="B29" s="74" t="s">
        <v>13</v>
      </c>
      <c r="C29" s="42" t="s">
        <v>39</v>
      </c>
      <c r="D29" s="14">
        <f>I16*2.5</f>
        <v>50</v>
      </c>
      <c r="E29" s="123" t="s">
        <v>122</v>
      </c>
      <c r="F29" s="14">
        <v>550</v>
      </c>
      <c r="G29" s="14">
        <f>D29*F29</f>
        <v>27500</v>
      </c>
      <c r="H29" s="26">
        <v>0</v>
      </c>
      <c r="I29" s="14">
        <f t="shared" si="0"/>
        <v>27500</v>
      </c>
      <c r="J29" s="13" t="s">
        <v>111</v>
      </c>
    </row>
    <row r="30" spans="1:11" s="11" customFormat="1" ht="21" thickBot="1" x14ac:dyDescent="0.35">
      <c r="A30" s="38">
        <v>30</v>
      </c>
      <c r="B30" s="74" t="s">
        <v>12</v>
      </c>
      <c r="C30" s="42" t="s">
        <v>40</v>
      </c>
      <c r="D30" s="14">
        <v>1</v>
      </c>
      <c r="E30" s="123" t="s">
        <v>123</v>
      </c>
      <c r="F30" s="14">
        <v>180</v>
      </c>
      <c r="G30" s="14">
        <f>D30*F30*2</f>
        <v>360</v>
      </c>
      <c r="H30" s="26">
        <v>0</v>
      </c>
      <c r="I30" s="14">
        <f t="shared" si="0"/>
        <v>360</v>
      </c>
      <c r="J30" s="50" t="s">
        <v>124</v>
      </c>
    </row>
    <row r="31" spans="1:11" s="11" customFormat="1" x14ac:dyDescent="0.3">
      <c r="A31" s="38">
        <v>31</v>
      </c>
      <c r="B31" s="74" t="s">
        <v>12</v>
      </c>
      <c r="C31" s="42" t="s">
        <v>41</v>
      </c>
      <c r="D31" s="14">
        <f>I11</f>
        <v>80</v>
      </c>
      <c r="E31" s="123" t="s">
        <v>28</v>
      </c>
      <c r="F31" s="14">
        <f>I12/I13</f>
        <v>3.5</v>
      </c>
      <c r="G31" s="14">
        <f>D31*F31*2</f>
        <v>560</v>
      </c>
      <c r="H31" s="26">
        <v>0</v>
      </c>
      <c r="I31" s="14">
        <f t="shared" si="0"/>
        <v>560</v>
      </c>
      <c r="J31" s="13"/>
    </row>
    <row r="32" spans="1:11" s="11" customFormat="1" ht="25.2" x14ac:dyDescent="0.3">
      <c r="A32" s="38">
        <v>32</v>
      </c>
      <c r="B32" s="74" t="s">
        <v>11</v>
      </c>
      <c r="C32" s="42" t="s">
        <v>62</v>
      </c>
      <c r="D32" s="14">
        <v>2</v>
      </c>
      <c r="E32" s="123" t="s">
        <v>121</v>
      </c>
      <c r="F32" s="14">
        <f>K15</f>
        <v>1000</v>
      </c>
      <c r="G32" s="14">
        <f>D32*F32</f>
        <v>2000</v>
      </c>
      <c r="H32" s="26">
        <v>0</v>
      </c>
      <c r="I32" s="14">
        <f t="shared" si="0"/>
        <v>2000</v>
      </c>
      <c r="J32" s="13"/>
    </row>
    <row r="33" spans="1:14" s="11" customFormat="1" x14ac:dyDescent="0.3">
      <c r="A33" s="38">
        <v>33</v>
      </c>
      <c r="B33" s="74" t="s">
        <v>14</v>
      </c>
      <c r="C33" s="42" t="s">
        <v>138</v>
      </c>
      <c r="D33" s="14">
        <f>((I9*I16)/500)/3</f>
        <v>27.813333333333333</v>
      </c>
      <c r="E33" s="123" t="s">
        <v>121</v>
      </c>
      <c r="F33" s="14">
        <f>I14</f>
        <v>350</v>
      </c>
      <c r="G33" s="14">
        <f>D33*F33</f>
        <v>9734.6666666666661</v>
      </c>
      <c r="H33" s="26">
        <v>0</v>
      </c>
      <c r="I33" s="14">
        <f t="shared" si="0"/>
        <v>9734.6666666666661</v>
      </c>
      <c r="J33" s="13"/>
    </row>
    <row r="34" spans="1:14" s="11" customFormat="1" ht="30.6" x14ac:dyDescent="0.3">
      <c r="A34" s="38">
        <v>34</v>
      </c>
      <c r="B34" s="74" t="s">
        <v>12</v>
      </c>
      <c r="C34" s="42" t="s">
        <v>139</v>
      </c>
      <c r="D34" s="14">
        <f>(I9*I16)/500</f>
        <v>83.44</v>
      </c>
      <c r="E34" s="123" t="s">
        <v>125</v>
      </c>
      <c r="F34" s="14">
        <v>500</v>
      </c>
      <c r="G34" s="14">
        <f>D34*F34</f>
        <v>41720</v>
      </c>
      <c r="H34" s="26">
        <v>0</v>
      </c>
      <c r="I34" s="14">
        <f t="shared" si="0"/>
        <v>41720</v>
      </c>
      <c r="J34" s="13" t="s">
        <v>113</v>
      </c>
      <c r="N34" s="11">
        <f>20*500</f>
        <v>10000</v>
      </c>
    </row>
    <row r="35" spans="1:14" s="11" customFormat="1" x14ac:dyDescent="0.3">
      <c r="A35" s="38">
        <v>35</v>
      </c>
      <c r="B35" s="74" t="s">
        <v>12</v>
      </c>
      <c r="C35" s="42" t="s">
        <v>140</v>
      </c>
      <c r="D35" s="14">
        <f>I9*I16/500*I10</f>
        <v>6675.2</v>
      </c>
      <c r="E35" s="123" t="s">
        <v>28</v>
      </c>
      <c r="F35" s="14">
        <v>0</v>
      </c>
      <c r="G35" s="14">
        <f>D35*F35</f>
        <v>0</v>
      </c>
      <c r="H35" s="26">
        <v>0</v>
      </c>
      <c r="I35" s="14">
        <f t="shared" si="0"/>
        <v>0</v>
      </c>
      <c r="J35" s="13" t="s">
        <v>141</v>
      </c>
    </row>
    <row r="36" spans="1:14" s="7" customFormat="1" x14ac:dyDescent="0.3">
      <c r="A36" s="38">
        <v>36</v>
      </c>
      <c r="B36" s="74"/>
      <c r="C36" s="41" t="s">
        <v>44</v>
      </c>
      <c r="D36" s="16"/>
      <c r="E36" s="124"/>
      <c r="F36" s="16"/>
      <c r="H36" s="27"/>
      <c r="J36" s="12"/>
    </row>
    <row r="37" spans="1:14" ht="51.6" customHeight="1" thickBot="1" x14ac:dyDescent="0.35">
      <c r="A37" s="38">
        <v>37</v>
      </c>
      <c r="B37" s="74" t="s">
        <v>105</v>
      </c>
      <c r="C37" s="43" t="s">
        <v>49</v>
      </c>
      <c r="D37" s="9">
        <f>I9*I16</f>
        <v>41720</v>
      </c>
      <c r="E37" s="123" t="s">
        <v>127</v>
      </c>
      <c r="F37" s="9">
        <v>22</v>
      </c>
      <c r="G37" s="9">
        <f t="shared" ref="G37:G47" si="1">D37*F37</f>
        <v>917840</v>
      </c>
      <c r="H37" s="8">
        <v>0</v>
      </c>
      <c r="I37" s="9">
        <f t="shared" ref="I37:I47" si="2">SUM(G37:H37)</f>
        <v>917840</v>
      </c>
      <c r="J37" s="13" t="s">
        <v>137</v>
      </c>
      <c r="K37" s="1"/>
    </row>
    <row r="38" spans="1:14" ht="31.2" thickBot="1" x14ac:dyDescent="0.35">
      <c r="A38" s="38">
        <v>38</v>
      </c>
      <c r="B38" s="74" t="s">
        <v>14</v>
      </c>
      <c r="C38" s="43" t="s">
        <v>54</v>
      </c>
      <c r="D38" s="108">
        <f>(I9*I16)/60</f>
        <v>695.33333333333337</v>
      </c>
      <c r="E38" s="123" t="s">
        <v>121</v>
      </c>
      <c r="F38" s="9">
        <f>I14</f>
        <v>350</v>
      </c>
      <c r="G38" s="9">
        <f t="shared" si="1"/>
        <v>243366.66666666669</v>
      </c>
      <c r="H38" s="8">
        <v>0</v>
      </c>
      <c r="I38" s="9">
        <f t="shared" si="2"/>
        <v>243366.66666666669</v>
      </c>
      <c r="J38" s="50" t="s">
        <v>142</v>
      </c>
      <c r="K38" s="1"/>
    </row>
    <row r="39" spans="1:14" ht="31.8" customHeight="1" x14ac:dyDescent="0.3">
      <c r="A39" s="38">
        <v>39</v>
      </c>
      <c r="B39" s="74" t="s">
        <v>13</v>
      </c>
      <c r="C39" s="43" t="s">
        <v>51</v>
      </c>
      <c r="D39" s="52">
        <f>I16*6.25/2</f>
        <v>62.5</v>
      </c>
      <c r="E39" s="123" t="s">
        <v>128</v>
      </c>
      <c r="F39" s="9">
        <v>500</v>
      </c>
      <c r="G39" s="9">
        <f t="shared" si="1"/>
        <v>31250</v>
      </c>
      <c r="H39" s="8">
        <v>0</v>
      </c>
      <c r="I39" s="9">
        <f t="shared" si="2"/>
        <v>31250</v>
      </c>
      <c r="J39" s="13" t="s">
        <v>57</v>
      </c>
      <c r="K39" s="1"/>
      <c r="M39" s="1">
        <f>500/3</f>
        <v>166.66666666666666</v>
      </c>
    </row>
    <row r="40" spans="1:14" ht="25.2" x14ac:dyDescent="0.3">
      <c r="A40" s="38">
        <v>40</v>
      </c>
      <c r="B40" s="74" t="s">
        <v>13</v>
      </c>
      <c r="C40" s="43" t="s">
        <v>52</v>
      </c>
      <c r="D40" s="9">
        <f>I16*2</f>
        <v>40</v>
      </c>
      <c r="E40" s="123" t="s">
        <v>120</v>
      </c>
      <c r="F40" s="9">
        <f>50+(18*15)+20</f>
        <v>340</v>
      </c>
      <c r="G40" s="9">
        <f t="shared" si="1"/>
        <v>13600</v>
      </c>
      <c r="H40" s="8">
        <v>0</v>
      </c>
      <c r="I40" s="9">
        <f t="shared" si="2"/>
        <v>13600</v>
      </c>
      <c r="J40" s="13" t="s">
        <v>50</v>
      </c>
      <c r="K40" s="1"/>
    </row>
    <row r="41" spans="1:14" x14ac:dyDescent="0.3">
      <c r="A41" s="38">
        <v>41</v>
      </c>
      <c r="B41" s="74" t="s">
        <v>13</v>
      </c>
      <c r="C41" s="43" t="s">
        <v>4</v>
      </c>
      <c r="D41" s="9">
        <f>(I9*I16)/(20*100)</f>
        <v>20.86</v>
      </c>
      <c r="E41" s="123" t="s">
        <v>129</v>
      </c>
      <c r="F41" s="9">
        <v>80</v>
      </c>
      <c r="G41" s="9">
        <f t="shared" si="1"/>
        <v>1668.8</v>
      </c>
      <c r="H41" s="8">
        <v>0</v>
      </c>
      <c r="I41" s="9">
        <f t="shared" si="2"/>
        <v>1668.8</v>
      </c>
      <c r="J41" s="13" t="s">
        <v>114</v>
      </c>
      <c r="K41" s="1"/>
    </row>
    <row r="42" spans="1:14" ht="14.4" thickBot="1" x14ac:dyDescent="0.35">
      <c r="A42" s="38">
        <v>42</v>
      </c>
      <c r="B42" s="74" t="s">
        <v>13</v>
      </c>
      <c r="C42" s="43" t="s">
        <v>3</v>
      </c>
      <c r="D42" s="9">
        <f>I9*I16</f>
        <v>41720</v>
      </c>
      <c r="E42" s="123" t="s">
        <v>130</v>
      </c>
      <c r="F42" s="52">
        <v>1.5</v>
      </c>
      <c r="G42" s="9">
        <f t="shared" si="1"/>
        <v>62580</v>
      </c>
      <c r="H42" s="8">
        <v>0</v>
      </c>
      <c r="I42" s="9">
        <f t="shared" si="2"/>
        <v>62580</v>
      </c>
      <c r="J42" s="13" t="s">
        <v>115</v>
      </c>
      <c r="K42" s="1"/>
    </row>
    <row r="43" spans="1:14" ht="14.4" thickBot="1" x14ac:dyDescent="0.35">
      <c r="A43" s="38">
        <v>43</v>
      </c>
      <c r="B43" s="74" t="s">
        <v>13</v>
      </c>
      <c r="C43" s="43" t="s">
        <v>5</v>
      </c>
      <c r="D43" s="9">
        <f>I16*4</f>
        <v>80</v>
      </c>
      <c r="E43" s="123" t="s">
        <v>131</v>
      </c>
      <c r="F43" s="9">
        <v>0</v>
      </c>
      <c r="G43" s="9">
        <f t="shared" si="1"/>
        <v>0</v>
      </c>
      <c r="H43" s="8">
        <v>0</v>
      </c>
      <c r="I43" s="9">
        <f t="shared" si="2"/>
        <v>0</v>
      </c>
      <c r="J43" s="50" t="s">
        <v>112</v>
      </c>
      <c r="K43" s="1"/>
    </row>
    <row r="44" spans="1:14" ht="14.4" thickBot="1" x14ac:dyDescent="0.35">
      <c r="A44" s="38">
        <v>44</v>
      </c>
      <c r="B44" s="74" t="s">
        <v>13</v>
      </c>
      <c r="C44" s="43" t="s">
        <v>53</v>
      </c>
      <c r="D44" s="9">
        <f>D38</f>
        <v>695.33333333333337</v>
      </c>
      <c r="E44" s="123" t="s">
        <v>132</v>
      </c>
      <c r="F44" s="9">
        <v>80</v>
      </c>
      <c r="G44" s="9">
        <f t="shared" si="1"/>
        <v>55626.666666666672</v>
      </c>
      <c r="H44" s="8">
        <v>0</v>
      </c>
      <c r="I44" s="9">
        <f t="shared" si="2"/>
        <v>55626.666666666672</v>
      </c>
      <c r="J44" s="13"/>
      <c r="K44" s="1"/>
    </row>
    <row r="45" spans="1:14" ht="31.2" thickBot="1" x14ac:dyDescent="0.35">
      <c r="A45" s="38">
        <v>45</v>
      </c>
      <c r="B45" s="74" t="s">
        <v>12</v>
      </c>
      <c r="C45" s="43" t="s">
        <v>59</v>
      </c>
      <c r="D45" s="51">
        <v>2</v>
      </c>
      <c r="E45" s="123" t="s">
        <v>119</v>
      </c>
      <c r="F45" s="51">
        <v>1800</v>
      </c>
      <c r="G45" s="9">
        <f t="shared" si="1"/>
        <v>3600</v>
      </c>
      <c r="H45" s="8">
        <v>0</v>
      </c>
      <c r="I45" s="9">
        <f t="shared" si="2"/>
        <v>3600</v>
      </c>
      <c r="J45" s="50" t="s">
        <v>116</v>
      </c>
      <c r="K45" s="1"/>
    </row>
    <row r="46" spans="1:14" ht="25.2" x14ac:dyDescent="0.3">
      <c r="A46" s="38">
        <v>46</v>
      </c>
      <c r="B46" s="74" t="s">
        <v>12</v>
      </c>
      <c r="C46" s="43" t="s">
        <v>58</v>
      </c>
      <c r="D46" s="9">
        <f>I11*D45</f>
        <v>160</v>
      </c>
      <c r="E46" s="123" t="s">
        <v>28</v>
      </c>
      <c r="F46" s="9">
        <f>I12/I13</f>
        <v>3.5</v>
      </c>
      <c r="G46" s="9">
        <f t="shared" si="1"/>
        <v>560</v>
      </c>
      <c r="H46" s="8">
        <v>0</v>
      </c>
      <c r="I46" s="9">
        <f t="shared" si="2"/>
        <v>560</v>
      </c>
      <c r="J46" s="13"/>
      <c r="K46" s="1"/>
    </row>
    <row r="47" spans="1:14" ht="25.8" thickBot="1" x14ac:dyDescent="0.35">
      <c r="A47" s="38">
        <v>47</v>
      </c>
      <c r="B47" s="74" t="s">
        <v>11</v>
      </c>
      <c r="C47" s="42" t="s">
        <v>62</v>
      </c>
      <c r="D47" s="9">
        <v>6</v>
      </c>
      <c r="E47" s="123" t="s">
        <v>121</v>
      </c>
      <c r="F47" s="9">
        <f>K15</f>
        <v>1000</v>
      </c>
      <c r="G47" s="9">
        <f t="shared" si="1"/>
        <v>6000</v>
      </c>
      <c r="H47" s="8">
        <v>0</v>
      </c>
      <c r="I47" s="9">
        <f t="shared" si="2"/>
        <v>6000</v>
      </c>
      <c r="J47" s="13"/>
      <c r="K47" s="13"/>
    </row>
    <row r="48" spans="1:14" ht="25.8" thickBot="1" x14ac:dyDescent="0.35">
      <c r="A48" s="38">
        <v>48</v>
      </c>
      <c r="B48" s="74" t="s">
        <v>13</v>
      </c>
      <c r="C48" s="43" t="s">
        <v>55</v>
      </c>
      <c r="D48" s="9"/>
      <c r="E48" s="123" t="s">
        <v>133</v>
      </c>
      <c r="F48" s="9"/>
      <c r="G48" s="50">
        <v>0</v>
      </c>
      <c r="H48" s="8"/>
      <c r="I48" s="9"/>
      <c r="J48" s="50" t="s">
        <v>56</v>
      </c>
      <c r="K48" s="1"/>
    </row>
    <row r="49" spans="1:13" x14ac:dyDescent="0.3">
      <c r="A49" s="38">
        <v>49</v>
      </c>
      <c r="B49" s="74"/>
      <c r="C49" s="41" t="s">
        <v>6</v>
      </c>
      <c r="D49" s="18"/>
      <c r="F49" s="18"/>
      <c r="G49" s="10"/>
      <c r="H49" s="29"/>
      <c r="I49" s="10"/>
      <c r="J49" s="13"/>
      <c r="K49" s="1"/>
    </row>
    <row r="50" spans="1:13" ht="37.799999999999997" x14ac:dyDescent="0.3">
      <c r="A50" s="38">
        <v>50</v>
      </c>
      <c r="B50" s="74" t="s">
        <v>14</v>
      </c>
      <c r="C50" s="43" t="s">
        <v>63</v>
      </c>
      <c r="D50" s="9">
        <f>I16*6.25*3</f>
        <v>375</v>
      </c>
      <c r="E50" s="123" t="s">
        <v>121</v>
      </c>
      <c r="F50" s="9">
        <f>I14</f>
        <v>350</v>
      </c>
      <c r="G50" s="9">
        <f>D50*F50*3</f>
        <v>393750</v>
      </c>
      <c r="H50" s="8">
        <f>G50*((100+$I$17)/100)</f>
        <v>413437.5</v>
      </c>
      <c r="I50" s="9">
        <f>SUM(G50:H50)</f>
        <v>807187.5</v>
      </c>
      <c r="J50" s="13" t="s">
        <v>60</v>
      </c>
      <c r="K50" s="1"/>
    </row>
    <row r="51" spans="1:13" ht="41.4" thickBot="1" x14ac:dyDescent="0.35">
      <c r="A51" s="38">
        <v>51</v>
      </c>
      <c r="B51" s="74" t="s">
        <v>13</v>
      </c>
      <c r="C51" s="43" t="s">
        <v>64</v>
      </c>
      <c r="D51" s="52">
        <f>6.25*I16/2</f>
        <v>62.5</v>
      </c>
      <c r="E51" s="123" t="s">
        <v>128</v>
      </c>
      <c r="F51" s="9">
        <v>500</v>
      </c>
      <c r="G51" s="9">
        <f>D51*F51*3</f>
        <v>93750</v>
      </c>
      <c r="H51" s="8">
        <f>G51*((100+$I$17)/100)</f>
        <v>98437.5</v>
      </c>
      <c r="I51" s="9">
        <f>SUM(G51:H51)</f>
        <v>192187.5</v>
      </c>
      <c r="J51" s="13" t="s">
        <v>65</v>
      </c>
      <c r="K51" s="1"/>
    </row>
    <row r="52" spans="1:13" s="11" customFormat="1" ht="25.8" thickBot="1" x14ac:dyDescent="0.35">
      <c r="A52" s="38">
        <v>52</v>
      </c>
      <c r="B52" s="74" t="s">
        <v>12</v>
      </c>
      <c r="C52" s="42" t="s">
        <v>66</v>
      </c>
      <c r="D52" s="14">
        <v>1</v>
      </c>
      <c r="E52" s="123" t="s">
        <v>119</v>
      </c>
      <c r="F52" s="14">
        <v>1800</v>
      </c>
      <c r="G52" s="14">
        <f>D52*F52*3</f>
        <v>5400</v>
      </c>
      <c r="H52" s="8">
        <f>G52*((100+$I$17)/100)</f>
        <v>5670</v>
      </c>
      <c r="I52" s="14">
        <f>SUM(G52:H52)</f>
        <v>11070</v>
      </c>
      <c r="J52" s="50" t="s">
        <v>117</v>
      </c>
      <c r="M52" s="11">
        <f>M50/125</f>
        <v>0</v>
      </c>
    </row>
    <row r="53" spans="1:13" s="11" customFormat="1" ht="25.2" x14ac:dyDescent="0.3">
      <c r="A53" s="38">
        <v>53</v>
      </c>
      <c r="B53" s="74" t="s">
        <v>12</v>
      </c>
      <c r="C53" s="42" t="s">
        <v>67</v>
      </c>
      <c r="D53" s="14">
        <f>I11</f>
        <v>80</v>
      </c>
      <c r="E53" s="123" t="s">
        <v>28</v>
      </c>
      <c r="F53" s="14">
        <f>I12/I13</f>
        <v>3.5</v>
      </c>
      <c r="G53" s="14">
        <f>D53*F53*3</f>
        <v>840</v>
      </c>
      <c r="H53" s="8">
        <f>G53*((100+$I$17)/100)</f>
        <v>882</v>
      </c>
      <c r="I53" s="14">
        <f>SUM(G53:H53)</f>
        <v>1722</v>
      </c>
      <c r="J53" s="13"/>
    </row>
    <row r="54" spans="1:13" s="11" customFormat="1" ht="25.2" x14ac:dyDescent="0.3">
      <c r="A54" s="38">
        <v>54</v>
      </c>
      <c r="B54" s="74" t="s">
        <v>11</v>
      </c>
      <c r="C54" s="42" t="s">
        <v>62</v>
      </c>
      <c r="D54" s="14">
        <v>2</v>
      </c>
      <c r="E54" s="123" t="s">
        <v>121</v>
      </c>
      <c r="F54" s="14">
        <f>K15</f>
        <v>1000</v>
      </c>
      <c r="G54" s="14">
        <f>D54*F54*3</f>
        <v>6000</v>
      </c>
      <c r="H54" s="8">
        <f>G54*((100+$I$17)/100)</f>
        <v>6300</v>
      </c>
      <c r="I54" s="14">
        <f>SUM(G54:H54)</f>
        <v>12300</v>
      </c>
      <c r="J54" s="13" t="s">
        <v>68</v>
      </c>
    </row>
    <row r="55" spans="1:13" s="7" customFormat="1" x14ac:dyDescent="0.3">
      <c r="A55" s="38">
        <v>55</v>
      </c>
      <c r="B55" s="74"/>
      <c r="C55" s="41" t="s">
        <v>7</v>
      </c>
      <c r="D55" s="16"/>
      <c r="E55" s="124"/>
      <c r="F55" s="16"/>
      <c r="H55" s="27"/>
      <c r="J55" s="12"/>
    </row>
    <row r="56" spans="1:13" ht="14.4" thickBot="1" x14ac:dyDescent="0.35">
      <c r="A56" s="38">
        <v>56</v>
      </c>
      <c r="B56" s="74" t="s">
        <v>14</v>
      </c>
      <c r="C56" s="43" t="s">
        <v>71</v>
      </c>
      <c r="D56" s="9">
        <f>(I9*I16*0.05)/300</f>
        <v>6.9533333333333331</v>
      </c>
      <c r="E56" s="123" t="s">
        <v>121</v>
      </c>
      <c r="F56" s="9">
        <f>I14</f>
        <v>350</v>
      </c>
      <c r="G56" s="9">
        <f>D56*F56*2</f>
        <v>4867.333333333333</v>
      </c>
      <c r="H56" s="8">
        <f>G56*(100+I17)/100*0.5</f>
        <v>2555.35</v>
      </c>
      <c r="I56" s="14">
        <f>SUM(G56:H56)</f>
        <v>7422.6833333333325</v>
      </c>
      <c r="J56" s="13" t="s">
        <v>74</v>
      </c>
      <c r="K56" s="1"/>
    </row>
    <row r="57" spans="1:13" s="11" customFormat="1" ht="14.4" thickBot="1" x14ac:dyDescent="0.35">
      <c r="A57" s="38">
        <v>57</v>
      </c>
      <c r="B57" s="74" t="s">
        <v>12</v>
      </c>
      <c r="C57" s="42" t="s">
        <v>143</v>
      </c>
      <c r="D57" s="14">
        <v>1</v>
      </c>
      <c r="E57" s="123" t="s">
        <v>134</v>
      </c>
      <c r="F57" s="14">
        <v>1600</v>
      </c>
      <c r="G57" s="14">
        <f>D57*F57*2</f>
        <v>3200</v>
      </c>
      <c r="H57" s="8">
        <f>G57*((100+$I$17)/100)/2</f>
        <v>1680</v>
      </c>
      <c r="I57" s="14">
        <f>SUM(G57:H57)</f>
        <v>4880</v>
      </c>
      <c r="J57" s="50" t="s">
        <v>38</v>
      </c>
      <c r="M57" s="11">
        <f>M54/125</f>
        <v>0</v>
      </c>
    </row>
    <row r="58" spans="1:13" s="11" customFormat="1" ht="25.2" x14ac:dyDescent="0.3">
      <c r="A58" s="38">
        <v>58</v>
      </c>
      <c r="B58" s="74" t="s">
        <v>12</v>
      </c>
      <c r="C58" s="42" t="s">
        <v>144</v>
      </c>
      <c r="D58" s="14">
        <f>I11</f>
        <v>80</v>
      </c>
      <c r="E58" s="123" t="s">
        <v>28</v>
      </c>
      <c r="F58" s="14">
        <f>I12/I13</f>
        <v>3.5</v>
      </c>
      <c r="G58" s="14">
        <f>D58*F58*2</f>
        <v>560</v>
      </c>
      <c r="H58" s="8">
        <f>G58*((100+$I$17)/100)/2</f>
        <v>294</v>
      </c>
      <c r="I58" s="14">
        <f>SUM(G58:H58)</f>
        <v>854</v>
      </c>
      <c r="J58" s="13"/>
    </row>
    <row r="59" spans="1:13" s="11" customFormat="1" ht="25.2" x14ac:dyDescent="0.3">
      <c r="A59" s="38">
        <v>59</v>
      </c>
      <c r="B59" s="74" t="s">
        <v>11</v>
      </c>
      <c r="C59" s="42" t="s">
        <v>62</v>
      </c>
      <c r="D59" s="14">
        <v>4</v>
      </c>
      <c r="E59" s="123" t="s">
        <v>121</v>
      </c>
      <c r="F59" s="14">
        <f>K15</f>
        <v>1000</v>
      </c>
      <c r="G59" s="14">
        <f>D59*F59*2</f>
        <v>8000</v>
      </c>
      <c r="H59" s="8">
        <f>G59*((100+$I$17)/100)/2</f>
        <v>4200</v>
      </c>
      <c r="I59" s="14">
        <f>SUM(G59:H59)</f>
        <v>12200</v>
      </c>
      <c r="J59" s="13" t="s">
        <v>20</v>
      </c>
    </row>
    <row r="60" spans="1:13" x14ac:dyDescent="0.3">
      <c r="A60" s="38">
        <v>60</v>
      </c>
      <c r="B60" s="74" t="s">
        <v>13</v>
      </c>
      <c r="C60" s="43" t="s">
        <v>18</v>
      </c>
      <c r="D60" s="9">
        <v>1</v>
      </c>
      <c r="E60" s="123" t="s">
        <v>120</v>
      </c>
      <c r="F60" s="9">
        <v>500</v>
      </c>
      <c r="G60" s="9">
        <f>D60*F60*2</f>
        <v>1000</v>
      </c>
      <c r="H60" s="8">
        <f>G60*((100+$I$17)/100)/2</f>
        <v>525</v>
      </c>
      <c r="I60" s="9">
        <f>SUM(G60:H60)</f>
        <v>1525</v>
      </c>
      <c r="J60" s="13" t="s">
        <v>21</v>
      </c>
      <c r="K60" s="1"/>
    </row>
    <row r="61" spans="1:13" s="167" customFormat="1" ht="63" customHeight="1" x14ac:dyDescent="0.3">
      <c r="A61" s="160">
        <v>61</v>
      </c>
      <c r="B61" s="161" t="s">
        <v>19</v>
      </c>
      <c r="C61" s="162" t="s">
        <v>8</v>
      </c>
      <c r="D61" s="163"/>
      <c r="E61" s="164" t="s">
        <v>133</v>
      </c>
      <c r="F61" s="163"/>
      <c r="G61" s="165">
        <v>0</v>
      </c>
      <c r="H61" s="166">
        <v>0</v>
      </c>
      <c r="J61" s="168" t="s">
        <v>77</v>
      </c>
    </row>
    <row r="62" spans="1:13" s="7" customFormat="1" ht="14.4" thickBot="1" x14ac:dyDescent="0.35">
      <c r="A62" s="132"/>
      <c r="B62" s="133" t="s">
        <v>136</v>
      </c>
      <c r="C62" s="126" t="s">
        <v>126</v>
      </c>
      <c r="D62" s="57"/>
      <c r="E62" s="129" t="s">
        <v>133</v>
      </c>
      <c r="F62" s="128"/>
      <c r="G62" s="130">
        <v>0</v>
      </c>
      <c r="H62" s="137"/>
      <c r="I62" s="131"/>
      <c r="J62" s="58" t="s">
        <v>145</v>
      </c>
    </row>
    <row r="63" spans="1:13" ht="14.4" thickBot="1" x14ac:dyDescent="0.35">
      <c r="A63" s="132">
        <v>62</v>
      </c>
      <c r="B63" s="133"/>
      <c r="C63" s="134"/>
      <c r="D63" s="135"/>
      <c r="E63" s="148" t="s">
        <v>9</v>
      </c>
      <c r="F63" s="25"/>
      <c r="G63" s="23">
        <f>SUM(G21:G61)</f>
        <v>2081464.1333333335</v>
      </c>
      <c r="H63" s="23">
        <f>SUM(H21:H61)</f>
        <v>533981.35</v>
      </c>
      <c r="I63" s="138">
        <f>SUM(I21:I61)</f>
        <v>2615445.4833333334</v>
      </c>
      <c r="J63" s="136"/>
      <c r="K63" s="1"/>
    </row>
    <row r="64" spans="1:13" s="6" customFormat="1" ht="6" customHeight="1" x14ac:dyDescent="0.3">
      <c r="A64" s="38">
        <v>63</v>
      </c>
      <c r="B64" s="74"/>
      <c r="C64" s="22"/>
      <c r="D64" s="20"/>
      <c r="E64" s="145"/>
      <c r="G64" s="20"/>
      <c r="I64" s="5"/>
      <c r="J64" s="56"/>
    </row>
    <row r="65" spans="1:11" s="6" customFormat="1" ht="12" customHeight="1" x14ac:dyDescent="0.3">
      <c r="A65" s="38"/>
      <c r="B65" s="74"/>
      <c r="C65" s="22"/>
      <c r="D65" s="20"/>
      <c r="E65" s="145"/>
      <c r="G65" s="20"/>
      <c r="I65" s="5"/>
      <c r="J65" s="56"/>
    </row>
    <row r="66" spans="1:11" s="6" customFormat="1" ht="12" customHeight="1" x14ac:dyDescent="0.3">
      <c r="A66" s="38"/>
      <c r="B66" s="74"/>
      <c r="C66" s="22"/>
      <c r="D66" s="20"/>
      <c r="E66" s="145"/>
      <c r="G66" s="20"/>
      <c r="I66" s="5"/>
      <c r="J66" s="56"/>
    </row>
    <row r="67" spans="1:11" s="6" customFormat="1" x14ac:dyDescent="0.3">
      <c r="A67" s="38"/>
      <c r="B67" s="36"/>
      <c r="C67" s="76" t="s">
        <v>106</v>
      </c>
      <c r="D67" s="77"/>
      <c r="E67" s="145"/>
      <c r="F67" s="78"/>
      <c r="G67" s="77"/>
      <c r="H67" s="78"/>
      <c r="I67" s="15"/>
      <c r="J67" s="5"/>
      <c r="K67" s="20"/>
    </row>
    <row r="68" spans="1:11" s="6" customFormat="1" x14ac:dyDescent="0.3">
      <c r="A68" s="38"/>
      <c r="B68" s="36"/>
      <c r="C68" s="79" t="s">
        <v>16</v>
      </c>
      <c r="D68" s="79" t="s">
        <v>16</v>
      </c>
      <c r="E68" s="149" t="s">
        <v>16</v>
      </c>
      <c r="F68" s="79" t="s">
        <v>16</v>
      </c>
      <c r="G68" s="79" t="s">
        <v>16</v>
      </c>
      <c r="H68" s="79" t="s">
        <v>16</v>
      </c>
      <c r="I68" s="79" t="s">
        <v>16</v>
      </c>
      <c r="J68" s="5"/>
      <c r="K68" s="20"/>
    </row>
    <row r="69" spans="1:11" s="6" customFormat="1" x14ac:dyDescent="0.3">
      <c r="A69" s="38"/>
      <c r="B69" s="36"/>
      <c r="C69" s="79" t="s">
        <v>105</v>
      </c>
      <c r="D69" s="80" t="s">
        <v>13</v>
      </c>
      <c r="E69" s="150" t="s">
        <v>12</v>
      </c>
      <c r="F69" s="81" t="s">
        <v>14</v>
      </c>
      <c r="G69" s="80" t="s">
        <v>11</v>
      </c>
      <c r="H69" s="81" t="s">
        <v>19</v>
      </c>
      <c r="I69" s="81" t="s">
        <v>136</v>
      </c>
      <c r="J69" s="5"/>
      <c r="K69" s="20"/>
    </row>
    <row r="70" spans="1:11" s="6" customFormat="1" x14ac:dyDescent="0.3">
      <c r="A70" s="38"/>
      <c r="B70" s="36"/>
      <c r="C70" s="22"/>
      <c r="D70" s="20"/>
      <c r="E70" s="145"/>
      <c r="G70" s="20"/>
      <c r="I70" s="15"/>
      <c r="J70" s="5"/>
      <c r="K70" s="20"/>
    </row>
    <row r="71" spans="1:11" s="6" customFormat="1" x14ac:dyDescent="0.3">
      <c r="A71" s="38"/>
      <c r="B71" s="36"/>
      <c r="C71" s="22"/>
      <c r="D71" s="20"/>
      <c r="E71" s="145"/>
      <c r="F71" s="6" t="s">
        <v>147</v>
      </c>
      <c r="G71" s="20">
        <f>G63/36</f>
        <v>57818.448148148156</v>
      </c>
      <c r="H71" s="20">
        <f>H63/36</f>
        <v>14832.815277777778</v>
      </c>
      <c r="I71" s="15"/>
      <c r="J71" s="5"/>
      <c r="K71" s="20"/>
    </row>
    <row r="72" spans="1:11" s="6" customFormat="1" x14ac:dyDescent="0.3">
      <c r="A72" s="38"/>
      <c r="B72" s="36"/>
      <c r="C72" s="22"/>
      <c r="D72" s="20"/>
      <c r="E72" s="145"/>
      <c r="G72" s="20"/>
      <c r="I72" s="15"/>
      <c r="J72" s="5"/>
      <c r="K72" s="20"/>
    </row>
    <row r="73" spans="1:11" s="6" customFormat="1" x14ac:dyDescent="0.3">
      <c r="A73" s="38"/>
      <c r="B73" s="36"/>
      <c r="C73" s="22"/>
      <c r="D73" s="20"/>
      <c r="E73" s="145"/>
      <c r="G73" s="20"/>
      <c r="I73" s="15"/>
      <c r="J73" s="5"/>
      <c r="K73" s="20"/>
    </row>
    <row r="74" spans="1:11" s="6" customFormat="1" x14ac:dyDescent="0.3">
      <c r="A74" s="38"/>
      <c r="B74" s="36"/>
      <c r="C74" s="22"/>
      <c r="D74" s="20"/>
      <c r="E74" s="145"/>
      <c r="G74" s="20">
        <f>G63/4377</f>
        <v>475.54583809306229</v>
      </c>
      <c r="I74" s="15"/>
      <c r="J74" s="5"/>
      <c r="K74" s="20"/>
    </row>
    <row r="75" spans="1:11" s="6" customFormat="1" x14ac:dyDescent="0.3">
      <c r="A75" s="38"/>
      <c r="B75" s="36"/>
      <c r="C75" s="22"/>
      <c r="D75" s="20"/>
      <c r="E75" s="145"/>
      <c r="G75" s="20"/>
      <c r="I75" s="15"/>
      <c r="J75" s="5"/>
      <c r="K75" s="20"/>
    </row>
    <row r="76" spans="1:11" s="6" customFormat="1" x14ac:dyDescent="0.3">
      <c r="A76" s="38"/>
      <c r="B76" s="36"/>
      <c r="C76" s="22"/>
      <c r="D76" s="20"/>
      <c r="E76" s="145"/>
      <c r="G76" s="20"/>
      <c r="I76" s="15"/>
      <c r="J76" s="5"/>
      <c r="K76" s="20"/>
    </row>
    <row r="77" spans="1:11" s="6" customFormat="1" x14ac:dyDescent="0.3">
      <c r="A77" s="38"/>
      <c r="B77" s="36"/>
      <c r="C77" s="22"/>
      <c r="D77" s="20"/>
      <c r="E77" s="145"/>
      <c r="G77" s="20"/>
      <c r="I77" s="15"/>
      <c r="J77" s="5"/>
      <c r="K77" s="20"/>
    </row>
    <row r="78" spans="1:11" s="6" customFormat="1" x14ac:dyDescent="0.3">
      <c r="A78" s="38"/>
      <c r="B78" s="36"/>
      <c r="C78" s="22"/>
      <c r="D78" s="20"/>
      <c r="E78" s="145"/>
      <c r="G78" s="20"/>
      <c r="I78" s="15"/>
      <c r="J78" s="5"/>
      <c r="K78" s="20"/>
    </row>
    <row r="79" spans="1:11" s="6" customFormat="1" x14ac:dyDescent="0.3">
      <c r="A79" s="38"/>
      <c r="B79" s="36"/>
      <c r="C79" s="22"/>
      <c r="D79" s="20"/>
      <c r="E79" s="145"/>
      <c r="G79" s="20"/>
      <c r="I79" s="15"/>
      <c r="J79" s="5"/>
      <c r="K79" s="20"/>
    </row>
    <row r="80" spans="1:11" s="6" customFormat="1" x14ac:dyDescent="0.3">
      <c r="A80" s="38"/>
      <c r="B80" s="36"/>
      <c r="C80" s="22"/>
      <c r="D80" s="20"/>
      <c r="E80" s="145"/>
      <c r="G80" s="20"/>
      <c r="I80" s="15"/>
      <c r="J80" s="5"/>
      <c r="K80" s="20"/>
    </row>
    <row r="81" spans="1:11" s="6" customFormat="1" x14ac:dyDescent="0.3">
      <c r="A81" s="38"/>
      <c r="B81" s="36"/>
      <c r="C81" s="22"/>
      <c r="D81" s="20"/>
      <c r="E81" s="145"/>
      <c r="G81" s="20"/>
      <c r="I81" s="15"/>
      <c r="J81" s="5"/>
      <c r="K81" s="20"/>
    </row>
    <row r="82" spans="1:11" s="6" customFormat="1" x14ac:dyDescent="0.3">
      <c r="A82" s="38"/>
      <c r="B82" s="36"/>
      <c r="C82" s="22"/>
      <c r="D82" s="20"/>
      <c r="E82" s="145"/>
      <c r="G82" s="20"/>
      <c r="I82" s="15"/>
      <c r="J82" s="5"/>
      <c r="K82" s="20"/>
    </row>
    <row r="83" spans="1:11" s="6" customFormat="1" x14ac:dyDescent="0.3">
      <c r="A83" s="38"/>
      <c r="B83" s="36"/>
      <c r="C83" s="22"/>
      <c r="D83" s="20"/>
      <c r="E83" s="145"/>
      <c r="G83" s="20"/>
      <c r="I83" s="15"/>
      <c r="J83" s="5"/>
      <c r="K83" s="20"/>
    </row>
    <row r="84" spans="1:11" s="6" customFormat="1" x14ac:dyDescent="0.3">
      <c r="A84" s="38"/>
      <c r="B84" s="36"/>
      <c r="C84" s="22"/>
      <c r="D84" s="20"/>
      <c r="E84" s="145"/>
      <c r="G84" s="20"/>
      <c r="I84" s="15"/>
      <c r="J84" s="5"/>
      <c r="K84" s="20"/>
    </row>
    <row r="85" spans="1:11" s="6" customFormat="1" x14ac:dyDescent="0.3">
      <c r="A85" s="38"/>
      <c r="B85" s="36"/>
      <c r="C85" s="22"/>
      <c r="D85" s="20"/>
      <c r="E85" s="145"/>
      <c r="G85" s="20"/>
      <c r="I85" s="15"/>
      <c r="J85" s="5"/>
      <c r="K85" s="20"/>
    </row>
    <row r="86" spans="1:11" s="6" customFormat="1" x14ac:dyDescent="0.3">
      <c r="A86" s="38"/>
      <c r="B86" s="36"/>
      <c r="C86" s="22"/>
      <c r="D86" s="20"/>
      <c r="E86" s="145"/>
      <c r="G86" s="20"/>
      <c r="I86" s="15"/>
      <c r="J86" s="5"/>
      <c r="K86" s="20"/>
    </row>
    <row r="87" spans="1:11" s="6" customFormat="1" x14ac:dyDescent="0.3">
      <c r="A87" s="38"/>
      <c r="B87" s="36"/>
      <c r="C87" s="22"/>
      <c r="D87" s="20"/>
      <c r="E87" s="145"/>
      <c r="G87" s="20"/>
      <c r="I87" s="15"/>
      <c r="J87" s="5"/>
      <c r="K87" s="20"/>
    </row>
    <row r="88" spans="1:11" s="6" customFormat="1" x14ac:dyDescent="0.3">
      <c r="A88" s="38"/>
      <c r="B88" s="36"/>
      <c r="C88" s="22"/>
      <c r="D88" s="20"/>
      <c r="E88" s="145"/>
      <c r="G88" s="20"/>
      <c r="I88" s="15"/>
      <c r="J88" s="5"/>
      <c r="K88" s="20"/>
    </row>
    <row r="89" spans="1:11" s="6" customFormat="1" x14ac:dyDescent="0.3">
      <c r="A89" s="38"/>
      <c r="B89" s="36"/>
      <c r="C89" s="22"/>
      <c r="D89" s="20"/>
      <c r="E89" s="145"/>
      <c r="G89" s="20"/>
      <c r="I89" s="15"/>
      <c r="J89" s="5"/>
      <c r="K89" s="20"/>
    </row>
    <row r="90" spans="1:11" s="6" customFormat="1" x14ac:dyDescent="0.3">
      <c r="A90" s="38"/>
      <c r="B90" s="36"/>
      <c r="C90" s="22"/>
      <c r="D90" s="20"/>
      <c r="E90" s="145"/>
      <c r="G90" s="20"/>
      <c r="I90" s="15"/>
      <c r="J90" s="5"/>
      <c r="K90" s="20"/>
    </row>
    <row r="91" spans="1:11" s="6" customFormat="1" x14ac:dyDescent="0.3">
      <c r="A91" s="38"/>
      <c r="B91" s="36"/>
      <c r="C91" s="22"/>
      <c r="D91" s="20"/>
      <c r="E91" s="145"/>
      <c r="G91" s="20"/>
      <c r="I91" s="15"/>
      <c r="J91" s="5"/>
      <c r="K91" s="20"/>
    </row>
    <row r="92" spans="1:11" s="6" customFormat="1" x14ac:dyDescent="0.3">
      <c r="A92" s="38"/>
      <c r="B92" s="36"/>
      <c r="C92" s="22"/>
      <c r="D92" s="20"/>
      <c r="E92" s="145"/>
      <c r="G92" s="20"/>
      <c r="I92" s="15"/>
      <c r="J92" s="5"/>
      <c r="K92" s="20"/>
    </row>
    <row r="93" spans="1:11" s="6" customFormat="1" x14ac:dyDescent="0.3">
      <c r="A93" s="38"/>
      <c r="B93" s="36"/>
      <c r="C93" s="22"/>
      <c r="D93" s="20"/>
      <c r="E93" s="145"/>
      <c r="G93" s="20"/>
      <c r="I93" s="15"/>
      <c r="J93" s="5"/>
      <c r="K93" s="20"/>
    </row>
    <row r="94" spans="1:11" s="6" customFormat="1" x14ac:dyDescent="0.3">
      <c r="A94" s="38"/>
      <c r="B94" s="36"/>
      <c r="C94" s="22"/>
      <c r="D94" s="20"/>
      <c r="E94" s="145"/>
      <c r="G94" s="20"/>
      <c r="I94" s="15"/>
      <c r="J94" s="5"/>
      <c r="K94" s="20"/>
    </row>
    <row r="95" spans="1:11" s="6" customFormat="1" x14ac:dyDescent="0.3">
      <c r="A95" s="38"/>
      <c r="B95" s="36"/>
      <c r="C95" s="22"/>
      <c r="D95" s="20"/>
      <c r="E95" s="145"/>
      <c r="G95" s="20"/>
      <c r="I95" s="15"/>
      <c r="J95" s="5"/>
      <c r="K95" s="20"/>
    </row>
    <row r="96" spans="1:11" s="6" customFormat="1" x14ac:dyDescent="0.3">
      <c r="A96" s="38"/>
      <c r="B96" s="36"/>
      <c r="C96" s="22"/>
      <c r="D96" s="20"/>
      <c r="E96" s="145"/>
      <c r="G96" s="20"/>
      <c r="I96" s="15"/>
      <c r="J96" s="5"/>
      <c r="K96" s="20"/>
    </row>
    <row r="97" spans="1:11" s="6" customFormat="1" x14ac:dyDescent="0.3">
      <c r="A97" s="38"/>
      <c r="B97" s="36"/>
      <c r="C97" s="22"/>
      <c r="D97" s="20"/>
      <c r="E97" s="145"/>
      <c r="G97" s="20"/>
      <c r="I97" s="15"/>
      <c r="J97" s="5"/>
      <c r="K97" s="20"/>
    </row>
    <row r="98" spans="1:11" s="6" customFormat="1" x14ac:dyDescent="0.3">
      <c r="A98" s="38"/>
      <c r="B98" s="36"/>
      <c r="C98" s="22"/>
      <c r="D98" s="20"/>
      <c r="E98" s="145"/>
      <c r="G98" s="20"/>
      <c r="I98" s="15"/>
      <c r="J98" s="5"/>
      <c r="K98" s="20"/>
    </row>
    <row r="99" spans="1:11" s="11" customFormat="1" x14ac:dyDescent="0.3">
      <c r="A99" s="73"/>
      <c r="B99" s="36"/>
      <c r="C99" s="32"/>
      <c r="D99" s="24"/>
      <c r="E99" s="151"/>
      <c r="G99" s="21"/>
      <c r="I99" s="31"/>
      <c r="J99" s="4"/>
      <c r="K99" s="24"/>
    </row>
  </sheetData>
  <mergeCells count="1">
    <mergeCell ref="G19:H19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4"/>
  <sheetViews>
    <sheetView tabSelected="1" topLeftCell="A4" zoomScale="110" zoomScaleNormal="110" workbookViewId="0">
      <selection activeCell="C6" sqref="C6"/>
    </sheetView>
  </sheetViews>
  <sheetFormatPr defaultColWidth="8.88671875" defaultRowHeight="14.4" x14ac:dyDescent="0.3"/>
  <cols>
    <col min="1" max="1" width="2.6640625" style="59" customWidth="1"/>
    <col min="2" max="2" width="34.77734375" style="59" customWidth="1"/>
    <col min="3" max="3" width="10.21875" style="63" customWidth="1"/>
    <col min="4" max="4" width="10.21875" style="62" customWidth="1"/>
    <col min="5" max="5" width="10.21875" style="59" customWidth="1"/>
    <col min="6" max="6" width="10.21875" style="67" customWidth="1"/>
    <col min="7" max="16384" width="8.88671875" style="59"/>
  </cols>
  <sheetData>
    <row r="1" spans="2:17" s="97" customFormat="1" ht="21" x14ac:dyDescent="0.4">
      <c r="B1" s="98" t="s">
        <v>88</v>
      </c>
      <c r="C1" s="99"/>
      <c r="D1" s="100"/>
      <c r="F1" s="101"/>
    </row>
    <row r="2" spans="2:17" ht="7.2" customHeight="1" thickBot="1" x14ac:dyDescent="0.35"/>
    <row r="3" spans="2:17" ht="15.6" x14ac:dyDescent="0.3">
      <c r="B3" s="184" t="s">
        <v>90</v>
      </c>
      <c r="C3" s="187">
        <f>'COST CALCULATION THB'!I9*'COST CALCULATION THB'!I16</f>
        <v>41720</v>
      </c>
      <c r="D3" s="61" t="s">
        <v>97</v>
      </c>
    </row>
    <row r="4" spans="2:17" ht="15.6" x14ac:dyDescent="0.3">
      <c r="B4" s="185" t="s">
        <v>91</v>
      </c>
      <c r="C4" s="188">
        <f>'COST CALCULATION THB'!I8*'COST CALCULATION THB'!I16</f>
        <v>20000</v>
      </c>
      <c r="D4" s="61" t="s">
        <v>98</v>
      </c>
    </row>
    <row r="5" spans="2:17" ht="16.2" thickBot="1" x14ac:dyDescent="0.35">
      <c r="B5" s="185" t="s">
        <v>92</v>
      </c>
      <c r="C5" s="188">
        <f>'COST CALCULATION THB'!I16</f>
        <v>20</v>
      </c>
      <c r="D5" s="61" t="s">
        <v>99</v>
      </c>
    </row>
    <row r="6" spans="2:17" s="169" customFormat="1" ht="31.8" thickBot="1" x14ac:dyDescent="0.35">
      <c r="B6" s="186" t="s">
        <v>150</v>
      </c>
      <c r="C6" s="189">
        <f>(151.5)*(C5)</f>
        <v>3030</v>
      </c>
      <c r="D6" s="178" t="s">
        <v>151</v>
      </c>
      <c r="E6" s="179" t="s">
        <v>152</v>
      </c>
      <c r="F6" s="180"/>
      <c r="G6" s="181">
        <f>C6*3.67</f>
        <v>11120.1</v>
      </c>
      <c r="H6" s="182" t="s">
        <v>153</v>
      </c>
      <c r="I6" s="183"/>
      <c r="K6" s="59"/>
      <c r="L6" s="59"/>
      <c r="M6" s="59"/>
      <c r="N6" s="59"/>
      <c r="O6" s="59"/>
      <c r="P6" s="59"/>
      <c r="Q6" s="59"/>
    </row>
    <row r="7" spans="2:17" ht="15" thickBot="1" x14ac:dyDescent="0.35"/>
    <row r="8" spans="2:17" ht="16.2" thickBot="1" x14ac:dyDescent="0.35">
      <c r="C8" s="65"/>
      <c r="D8" s="66" t="s">
        <v>96</v>
      </c>
      <c r="E8" s="152">
        <v>33.9</v>
      </c>
      <c r="F8" s="69"/>
      <c r="G8" s="159"/>
    </row>
    <row r="9" spans="2:17" ht="16.2" thickBot="1" x14ac:dyDescent="0.35">
      <c r="B9" s="60"/>
      <c r="C9" s="153" t="s">
        <v>10</v>
      </c>
      <c r="D9" s="154" t="s">
        <v>95</v>
      </c>
      <c r="G9" s="67"/>
    </row>
    <row r="10" spans="2:17" ht="15.6" x14ac:dyDescent="0.3">
      <c r="B10" s="175" t="s">
        <v>89</v>
      </c>
      <c r="C10" s="172">
        <f>'COST CALCULATION THB'!I63</f>
        <v>2615445.4833333334</v>
      </c>
      <c r="D10" s="155">
        <f>C10/$E$8</f>
        <v>77151.784169124876</v>
      </c>
      <c r="G10" s="67"/>
    </row>
    <row r="11" spans="2:17" ht="15.6" x14ac:dyDescent="0.3">
      <c r="B11" s="176" t="s">
        <v>93</v>
      </c>
      <c r="C11" s="172">
        <f>C10/C5</f>
        <v>130772.27416666667</v>
      </c>
      <c r="D11" s="190">
        <f>C11/$E$8</f>
        <v>3857.5892084562443</v>
      </c>
      <c r="G11" s="67"/>
    </row>
    <row r="12" spans="2:17" ht="15.6" x14ac:dyDescent="0.3">
      <c r="B12" s="176" t="s">
        <v>94</v>
      </c>
      <c r="C12" s="173">
        <f>C10/(C3+C4)</f>
        <v>42.375979963275007</v>
      </c>
      <c r="D12" s="191">
        <f>C12/$E$8</f>
        <v>1.2500289074712392</v>
      </c>
      <c r="E12" s="139" t="s">
        <v>102</v>
      </c>
      <c r="F12" s="140"/>
      <c r="G12" s="139"/>
      <c r="H12" s="139"/>
      <c r="I12" s="139"/>
      <c r="J12" s="139"/>
    </row>
    <row r="13" spans="2:17" ht="15.9" customHeight="1" thickBot="1" x14ac:dyDescent="0.35">
      <c r="B13" s="177" t="s">
        <v>154</v>
      </c>
      <c r="C13" s="174">
        <f>C10/G6</f>
        <v>235.19981684816983</v>
      </c>
      <c r="D13" s="156">
        <f>C13/$E$8</f>
        <v>6.9380476946362784</v>
      </c>
      <c r="E13" s="170"/>
      <c r="F13" s="171"/>
      <c r="G13" s="170"/>
      <c r="H13" s="170"/>
      <c r="I13" s="170"/>
    </row>
    <row r="14" spans="2:17" ht="4.05" customHeight="1" x14ac:dyDescent="0.3">
      <c r="C14" s="64"/>
      <c r="D14" s="64"/>
    </row>
    <row r="15" spans="2:17" ht="4.05" customHeight="1" thickBot="1" x14ac:dyDescent="0.35">
      <c r="C15" s="64"/>
      <c r="D15" s="64"/>
    </row>
    <row r="16" spans="2:17" ht="15" thickBot="1" x14ac:dyDescent="0.35">
      <c r="B16" s="70"/>
      <c r="C16" s="85" t="s">
        <v>100</v>
      </c>
      <c r="D16" s="86" t="s">
        <v>101</v>
      </c>
      <c r="E16" s="87" t="s">
        <v>15</v>
      </c>
      <c r="F16" s="88" t="s">
        <v>103</v>
      </c>
    </row>
    <row r="17" spans="1:7" x14ac:dyDescent="0.3">
      <c r="A17" s="75" t="s">
        <v>105</v>
      </c>
      <c r="B17" s="71" t="s">
        <v>69</v>
      </c>
      <c r="C17" s="89">
        <f>DSUM(P,6,'COST CALCULATION THB'!C$68:C$69)</f>
        <v>917840</v>
      </c>
      <c r="D17" s="90">
        <f>DSUM(P,7,'COST CALCULATION THB'!C$68:C$69)</f>
        <v>0</v>
      </c>
      <c r="E17" s="72">
        <f t="shared" ref="E17:E23" si="0">C17+D17</f>
        <v>917840</v>
      </c>
      <c r="F17" s="157">
        <f t="shared" ref="F17:F24" si="1">E17/E$24*100</f>
        <v>35.093065630648553</v>
      </c>
    </row>
    <row r="18" spans="1:7" x14ac:dyDescent="0.3">
      <c r="A18" s="75" t="s">
        <v>13</v>
      </c>
      <c r="B18" s="71" t="s">
        <v>70</v>
      </c>
      <c r="C18" s="89">
        <f>DSUM(P,6,'COST CALCULATION THB'!D$68:D$69)</f>
        <v>287275.46666666667</v>
      </c>
      <c r="D18" s="90">
        <f>DSUM(P,7,'COST CALCULATION THB'!D$68:D$69)</f>
        <v>98962.5</v>
      </c>
      <c r="E18" s="72">
        <f t="shared" si="0"/>
        <v>386237.96666666667</v>
      </c>
      <c r="F18" s="157">
        <f t="shared" si="1"/>
        <v>14.767578568466815</v>
      </c>
    </row>
    <row r="19" spans="1:7" x14ac:dyDescent="0.3">
      <c r="A19" s="75" t="s">
        <v>12</v>
      </c>
      <c r="B19" s="71" t="s">
        <v>73</v>
      </c>
      <c r="C19" s="89">
        <f>DSUM(P,6,'COST CALCULATION THB'!E$68:E$69)</f>
        <v>58880</v>
      </c>
      <c r="D19" s="90">
        <f>DSUM(P,7,'COST CALCULATION THB'!E$68:E$69)</f>
        <v>8526</v>
      </c>
      <c r="E19" s="72">
        <f t="shared" si="0"/>
        <v>67406</v>
      </c>
      <c r="F19" s="157">
        <f t="shared" si="1"/>
        <v>2.5772282553598629</v>
      </c>
    </row>
    <row r="20" spans="1:7" x14ac:dyDescent="0.3">
      <c r="A20" s="75" t="s">
        <v>14</v>
      </c>
      <c r="B20" s="71" t="s">
        <v>71</v>
      </c>
      <c r="C20" s="89">
        <f>DSUM(P,6,'COST CALCULATION THB'!F$68:F$69)</f>
        <v>793468.66666666674</v>
      </c>
      <c r="D20" s="90">
        <f>DSUM(P,7,'COST CALCULATION THB'!F$68:F$69)</f>
        <v>415992.85</v>
      </c>
      <c r="E20" s="72">
        <f t="shared" si="0"/>
        <v>1209461.5166666666</v>
      </c>
      <c r="F20" s="157">
        <f t="shared" si="1"/>
        <v>46.243040597628202</v>
      </c>
    </row>
    <row r="21" spans="1:7" ht="15" thickBot="1" x14ac:dyDescent="0.35">
      <c r="A21" s="75" t="s">
        <v>11</v>
      </c>
      <c r="B21" s="71" t="s">
        <v>72</v>
      </c>
      <c r="C21" s="89">
        <f>DSUM(P,6,'COST CALCULATION THB'!G$68:G$69)</f>
        <v>24000</v>
      </c>
      <c r="D21" s="90">
        <f>DSUM(P,7,'COST CALCULATION THB'!G$68:G$69)</f>
        <v>10500</v>
      </c>
      <c r="E21" s="72">
        <f t="shared" si="0"/>
        <v>34500</v>
      </c>
      <c r="F21" s="157">
        <f t="shared" si="1"/>
        <v>1.3190869478965563</v>
      </c>
    </row>
    <row r="22" spans="1:7" s="68" customFormat="1" ht="13.2" thickBot="1" x14ac:dyDescent="0.3">
      <c r="A22" s="82" t="s">
        <v>19</v>
      </c>
      <c r="B22" s="83" t="s">
        <v>104</v>
      </c>
      <c r="C22" s="91">
        <f>DSUM(P,6,'COST CALCULATION THB'!H$68:H$69)</f>
        <v>0</v>
      </c>
      <c r="D22" s="92">
        <f>DSUM(P,7,'COST CALCULATION THB'!H$68:H$69)</f>
        <v>0</v>
      </c>
      <c r="E22" s="93">
        <f t="shared" si="0"/>
        <v>0</v>
      </c>
      <c r="F22" s="94">
        <f t="shared" si="1"/>
        <v>0</v>
      </c>
      <c r="G22" s="68" t="s">
        <v>148</v>
      </c>
    </row>
    <row r="23" spans="1:7" s="68" customFormat="1" ht="13.2" thickBot="1" x14ac:dyDescent="0.3">
      <c r="A23" s="82" t="s">
        <v>136</v>
      </c>
      <c r="B23" s="127" t="s">
        <v>135</v>
      </c>
      <c r="C23" s="91">
        <f>DSUM(P,6,'COST CALCULATION THB'!I$68:I$69)</f>
        <v>0</v>
      </c>
      <c r="D23" s="92">
        <f>DSUM(P,7,'COST CALCULATION THB'!I$68:I$69)</f>
        <v>0</v>
      </c>
      <c r="E23" s="93">
        <f t="shared" si="0"/>
        <v>0</v>
      </c>
      <c r="F23" s="94">
        <f t="shared" si="1"/>
        <v>0</v>
      </c>
      <c r="G23" s="68" t="s">
        <v>149</v>
      </c>
    </row>
    <row r="24" spans="1:7" ht="15" thickBot="1" x14ac:dyDescent="0.35">
      <c r="C24" s="95">
        <f>SUM(C17:C22)</f>
        <v>2081464.1333333335</v>
      </c>
      <c r="D24" s="96">
        <f>SUM(D17:D22)</f>
        <v>533981.35</v>
      </c>
      <c r="E24" s="96">
        <f>SUM(E17:E22)</f>
        <v>2615445.4833333334</v>
      </c>
      <c r="F24" s="84">
        <f t="shared" si="1"/>
        <v>100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9"/>
  <sheetViews>
    <sheetView workbookViewId="0">
      <selection activeCell="N10" sqref="N9:N10"/>
    </sheetView>
  </sheetViews>
  <sheetFormatPr defaultRowHeight="14.4" x14ac:dyDescent="0.3"/>
  <cols>
    <col min="2" max="2" width="14.33203125" customWidth="1"/>
    <col min="3" max="4" width="10.88671875" customWidth="1"/>
  </cols>
  <sheetData>
    <row r="1" spans="2:4" ht="15" thickBot="1" x14ac:dyDescent="0.35"/>
    <row r="2" spans="2:4" s="158" customFormat="1" ht="43.8" thickBot="1" x14ac:dyDescent="0.35">
      <c r="B2" s="192" t="s">
        <v>155</v>
      </c>
      <c r="C2" s="193" t="s">
        <v>156</v>
      </c>
      <c r="D2" s="194" t="s">
        <v>157</v>
      </c>
    </row>
    <row r="3" spans="2:4" x14ac:dyDescent="0.3">
      <c r="B3" s="196">
        <v>0</v>
      </c>
      <c r="C3" s="197">
        <v>4896</v>
      </c>
      <c r="D3" s="198">
        <v>1.59</v>
      </c>
    </row>
    <row r="4" spans="2:4" x14ac:dyDescent="0.3">
      <c r="B4" s="199">
        <v>1000</v>
      </c>
      <c r="C4" s="195">
        <v>3949</v>
      </c>
      <c r="D4" s="200">
        <v>1.28</v>
      </c>
    </row>
    <row r="5" spans="2:4" x14ac:dyDescent="0.3">
      <c r="B5" s="199">
        <v>2000</v>
      </c>
      <c r="C5" s="195">
        <v>3002</v>
      </c>
      <c r="D5" s="200">
        <v>0.97</v>
      </c>
    </row>
    <row r="6" spans="2:4" ht="15" thickBot="1" x14ac:dyDescent="0.35">
      <c r="B6" s="201">
        <v>3000</v>
      </c>
      <c r="C6" s="202">
        <v>2054</v>
      </c>
      <c r="D6" s="203">
        <v>6.7</v>
      </c>
    </row>
    <row r="19" spans="5:12" ht="18" x14ac:dyDescent="0.35">
      <c r="E19" s="204" t="s">
        <v>146</v>
      </c>
      <c r="G19" s="204"/>
      <c r="H19" s="204"/>
      <c r="I19" s="204"/>
      <c r="J19" s="204"/>
      <c r="K19" s="204"/>
      <c r="L19" s="20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COST CALCULATION THB</vt:lpstr>
      <vt:lpstr>SUMMARY</vt:lpstr>
      <vt:lpstr>GRAPH ANR OFFSET</vt:lpstr>
      <vt:lpstr>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hp</cp:lastModifiedBy>
  <dcterms:created xsi:type="dcterms:W3CDTF">2013-05-17T08:04:41Z</dcterms:created>
  <dcterms:modified xsi:type="dcterms:W3CDTF">2022-10-20T05:34:48Z</dcterms:modified>
</cp:coreProperties>
</file>